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ceWilkinson\OneDrive - Capital Economics LTD\Documents\Capital Economics\Subject Files\Health\Contagion\"/>
    </mc:Choice>
  </mc:AlternateContent>
  <xr:revisionPtr revIDLastSave="0" documentId="8_{BE589757-7745-44F9-B12D-A9D3EC5477CF}" xr6:coauthVersionLast="44" xr6:coauthVersionMax="44" xr10:uidLastSave="{00000000-0000-0000-0000-000000000000}"/>
  <bookViews>
    <workbookView xWindow="28680" yWindow="-120" windowWidth="29040" windowHeight="15840" activeTab="3" xr2:uid="{A40A967C-5801-418F-AE93-155D05FB6561}"/>
  </bookViews>
  <sheets>
    <sheet name="Notes" sheetId="6" r:id="rId1"/>
    <sheet name="Health costs 33,600 deaths" sheetId="2" r:id="rId2"/>
    <sheet name="Health costs 12,600 deaths" sheetId="4" r:id="rId3"/>
    <sheet name="Addendum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  <c r="F17" i="3"/>
  <c r="G16" i="4" l="1"/>
  <c r="P16" i="4" s="1"/>
  <c r="G17" i="4"/>
  <c r="P17" i="4" s="1"/>
  <c r="G20" i="4"/>
  <c r="P20" i="4" s="1"/>
  <c r="G21" i="4"/>
  <c r="P21" i="4" s="1"/>
  <c r="G24" i="4"/>
  <c r="P24" i="4" s="1"/>
  <c r="G25" i="4"/>
  <c r="P25" i="4" s="1"/>
  <c r="G28" i="4"/>
  <c r="G29" i="4"/>
  <c r="B32" i="4"/>
  <c r="E30" i="4"/>
  <c r="L30" i="4" s="1"/>
  <c r="D30" i="4"/>
  <c r="S30" i="4" s="1"/>
  <c r="C30" i="4"/>
  <c r="P29" i="4"/>
  <c r="E29" i="4"/>
  <c r="D29" i="4"/>
  <c r="S29" i="4" s="1"/>
  <c r="C29" i="4"/>
  <c r="P28" i="4"/>
  <c r="E28" i="4"/>
  <c r="C28" i="4"/>
  <c r="T27" i="4"/>
  <c r="E27" i="4"/>
  <c r="L27" i="4" s="1"/>
  <c r="C27" i="4"/>
  <c r="E26" i="4"/>
  <c r="L26" i="4" s="1"/>
  <c r="D26" i="4"/>
  <c r="S26" i="4" s="1"/>
  <c r="C26" i="4"/>
  <c r="E25" i="4"/>
  <c r="L25" i="4" s="1"/>
  <c r="C25" i="4"/>
  <c r="E24" i="4"/>
  <c r="C24" i="4"/>
  <c r="E23" i="4"/>
  <c r="L23" i="4" s="1"/>
  <c r="C23" i="4"/>
  <c r="E22" i="4"/>
  <c r="L22" i="4" s="1"/>
  <c r="C22" i="4"/>
  <c r="T21" i="4"/>
  <c r="E21" i="4"/>
  <c r="L21" i="4" s="1"/>
  <c r="D21" i="4"/>
  <c r="S21" i="4" s="1"/>
  <c r="C21" i="4"/>
  <c r="E20" i="4"/>
  <c r="C20" i="4"/>
  <c r="T19" i="4"/>
  <c r="E19" i="4"/>
  <c r="L19" i="4" s="1"/>
  <c r="C19" i="4"/>
  <c r="E18" i="4"/>
  <c r="L18" i="4" s="1"/>
  <c r="D18" i="4"/>
  <c r="S18" i="4" s="1"/>
  <c r="C18" i="4"/>
  <c r="T17" i="4"/>
  <c r="E17" i="4"/>
  <c r="L17" i="4" s="1"/>
  <c r="D17" i="4"/>
  <c r="S17" i="4" s="1"/>
  <c r="C17" i="4"/>
  <c r="E16" i="4"/>
  <c r="C16" i="4"/>
  <c r="T15" i="4"/>
  <c r="E15" i="4"/>
  <c r="L15" i="4" s="1"/>
  <c r="C15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E14" i="4"/>
  <c r="L14" i="4" s="1"/>
  <c r="D14" i="4"/>
  <c r="S14" i="4" s="1"/>
  <c r="C14" i="4"/>
  <c r="C32" i="4" s="1"/>
  <c r="A14" i="4"/>
  <c r="E13" i="4"/>
  <c r="C13" i="4"/>
  <c r="D11" i="4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13" i="2"/>
  <c r="E14" i="2"/>
  <c r="L14" i="2" s="1"/>
  <c r="E15" i="2"/>
  <c r="L15" i="2" s="1"/>
  <c r="E16" i="2"/>
  <c r="L16" i="2" s="1"/>
  <c r="E17" i="2"/>
  <c r="L17" i="2" s="1"/>
  <c r="E18" i="2"/>
  <c r="L18" i="2" s="1"/>
  <c r="E19" i="2"/>
  <c r="L19" i="2" s="1"/>
  <c r="E20" i="2"/>
  <c r="L20" i="2" s="1"/>
  <c r="E21" i="2"/>
  <c r="L21" i="2" s="1"/>
  <c r="E22" i="2"/>
  <c r="L22" i="2" s="1"/>
  <c r="E23" i="2"/>
  <c r="L23" i="2" s="1"/>
  <c r="E24" i="2"/>
  <c r="L24" i="2" s="1"/>
  <c r="E25" i="2"/>
  <c r="L25" i="2" s="1"/>
  <c r="E26" i="2"/>
  <c r="L26" i="2" s="1"/>
  <c r="E27" i="2"/>
  <c r="L27" i="2" s="1"/>
  <c r="E28" i="2"/>
  <c r="L28" i="2" s="1"/>
  <c r="E29" i="2"/>
  <c r="L29" i="2" s="1"/>
  <c r="E30" i="2"/>
  <c r="L30" i="2" s="1"/>
  <c r="E13" i="2"/>
  <c r="D5" i="3"/>
  <c r="G14" i="4" s="1"/>
  <c r="P14" i="4" s="1"/>
  <c r="D6" i="3"/>
  <c r="G15" i="4" s="1"/>
  <c r="P15" i="4" s="1"/>
  <c r="D7" i="3"/>
  <c r="D8" i="3"/>
  <c r="D9" i="3"/>
  <c r="G18" i="4" s="1"/>
  <c r="D10" i="3"/>
  <c r="G19" i="4" s="1"/>
  <c r="P19" i="4" s="1"/>
  <c r="D11" i="3"/>
  <c r="D12" i="3"/>
  <c r="D13" i="3"/>
  <c r="G22" i="4" s="1"/>
  <c r="P22" i="4" s="1"/>
  <c r="D14" i="3"/>
  <c r="G23" i="4" s="1"/>
  <c r="P23" i="4" s="1"/>
  <c r="D15" i="3"/>
  <c r="D16" i="3"/>
  <c r="D17" i="3"/>
  <c r="G26" i="4" s="1"/>
  <c r="D18" i="3"/>
  <c r="G27" i="4" s="1"/>
  <c r="P27" i="4" s="1"/>
  <c r="D19" i="3"/>
  <c r="D20" i="3"/>
  <c r="D21" i="3"/>
  <c r="G30" i="4" s="1"/>
  <c r="P30" i="4" s="1"/>
  <c r="D4" i="3"/>
  <c r="G13" i="4" s="1"/>
  <c r="P13" i="4" s="1"/>
  <c r="C23" i="3"/>
  <c r="B23" i="3"/>
  <c r="D23" i="3" l="1"/>
  <c r="G17" i="3" s="1"/>
  <c r="F19" i="2"/>
  <c r="F26" i="2"/>
  <c r="K26" i="2" s="1"/>
  <c r="M26" i="2" s="1"/>
  <c r="N26" i="2" s="1"/>
  <c r="Q26" i="2" s="1"/>
  <c r="W26" i="2" s="1"/>
  <c r="F14" i="2"/>
  <c r="F23" i="2"/>
  <c r="F15" i="2"/>
  <c r="F18" i="2"/>
  <c r="U21" i="4"/>
  <c r="T24" i="4"/>
  <c r="L24" i="4"/>
  <c r="E32" i="4"/>
  <c r="E11" i="4" s="1"/>
  <c r="L13" i="4"/>
  <c r="U17" i="4"/>
  <c r="J18" i="4"/>
  <c r="T20" i="4"/>
  <c r="L20" i="4"/>
  <c r="T25" i="4"/>
  <c r="G32" i="2"/>
  <c r="F27" i="2" s="1"/>
  <c r="K27" i="2" s="1"/>
  <c r="T16" i="4"/>
  <c r="L16" i="4"/>
  <c r="T23" i="4"/>
  <c r="J26" i="4"/>
  <c r="T28" i="4"/>
  <c r="L28" i="4"/>
  <c r="T29" i="4"/>
  <c r="U29" i="4" s="1"/>
  <c r="L29" i="4"/>
  <c r="C33" i="4"/>
  <c r="C34" i="4"/>
  <c r="J15" i="4"/>
  <c r="J19" i="4"/>
  <c r="J16" i="4"/>
  <c r="J21" i="4"/>
  <c r="G32" i="4"/>
  <c r="D28" i="4"/>
  <c r="D24" i="4"/>
  <c r="D20" i="4"/>
  <c r="D16" i="4"/>
  <c r="T13" i="4"/>
  <c r="J14" i="4"/>
  <c r="F15" i="4"/>
  <c r="T18" i="4"/>
  <c r="U18" i="4" s="1"/>
  <c r="D19" i="4"/>
  <c r="T26" i="4"/>
  <c r="U26" i="4" s="1"/>
  <c r="D27" i="4"/>
  <c r="J17" i="4"/>
  <c r="D22" i="4"/>
  <c r="D25" i="4"/>
  <c r="J28" i="4"/>
  <c r="E36" i="4"/>
  <c r="E34" i="4"/>
  <c r="E33" i="4"/>
  <c r="J29" i="4"/>
  <c r="D13" i="4"/>
  <c r="T14" i="4"/>
  <c r="U14" i="4" s="1"/>
  <c r="D15" i="4"/>
  <c r="P18" i="4"/>
  <c r="P32" i="4" s="1"/>
  <c r="T22" i="4"/>
  <c r="D23" i="4"/>
  <c r="J23" i="4" s="1"/>
  <c r="P26" i="4"/>
  <c r="J30" i="4"/>
  <c r="T30" i="4"/>
  <c r="U30" i="4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21" i="2"/>
  <c r="U21" i="2" s="1"/>
  <c r="T22" i="2"/>
  <c r="U22" i="2" s="1"/>
  <c r="T23" i="2"/>
  <c r="U23" i="2" s="1"/>
  <c r="T24" i="2"/>
  <c r="U24" i="2" s="1"/>
  <c r="T25" i="2"/>
  <c r="U25" i="2" s="1"/>
  <c r="T26" i="2"/>
  <c r="U26" i="2" s="1"/>
  <c r="T27" i="2"/>
  <c r="U27" i="2" s="1"/>
  <c r="T28" i="2"/>
  <c r="U28" i="2" s="1"/>
  <c r="T29" i="2"/>
  <c r="U29" i="2" s="1"/>
  <c r="T30" i="2"/>
  <c r="U30" i="2" s="1"/>
  <c r="T13" i="2"/>
  <c r="U13" i="2" s="1"/>
  <c r="S32" i="2"/>
  <c r="S34" i="2" s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13" i="2"/>
  <c r="L13" i="2"/>
  <c r="K13" i="2"/>
  <c r="K14" i="2"/>
  <c r="K15" i="2"/>
  <c r="K18" i="2"/>
  <c r="K19" i="2"/>
  <c r="K23" i="2"/>
  <c r="M23" i="2" s="1"/>
  <c r="N23" i="2" s="1"/>
  <c r="Q23" i="2" s="1"/>
  <c r="W23" i="2" s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3" i="2"/>
  <c r="G35" i="2"/>
  <c r="D35" i="2"/>
  <c r="G34" i="2"/>
  <c r="G33" i="2"/>
  <c r="E32" i="2"/>
  <c r="D34" i="2"/>
  <c r="C34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3" i="2"/>
  <c r="C33" i="2"/>
  <c r="D11" i="2"/>
  <c r="C32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13" i="2"/>
  <c r="B32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P34" i="4" l="1"/>
  <c r="F5" i="4" s="1"/>
  <c r="E5" i="4"/>
  <c r="M18" i="2"/>
  <c r="N18" i="2" s="1"/>
  <c r="Q18" i="2" s="1"/>
  <c r="W18" i="2" s="1"/>
  <c r="E33" i="2"/>
  <c r="E11" i="2"/>
  <c r="M14" i="2"/>
  <c r="N14" i="2" s="1"/>
  <c r="Q14" i="2" s="1"/>
  <c r="W14" i="2" s="1"/>
  <c r="F26" i="4"/>
  <c r="G11" i="4"/>
  <c r="G11" i="2"/>
  <c r="F16" i="2"/>
  <c r="K16" i="2" s="1"/>
  <c r="F24" i="2"/>
  <c r="K24" i="2" s="1"/>
  <c r="M24" i="2" s="1"/>
  <c r="N24" i="2" s="1"/>
  <c r="Q24" i="2" s="1"/>
  <c r="W24" i="2" s="1"/>
  <c r="F17" i="2"/>
  <c r="K17" i="2" s="1"/>
  <c r="M17" i="2" s="1"/>
  <c r="N17" i="2" s="1"/>
  <c r="Q17" i="2" s="1"/>
  <c r="W17" i="2" s="1"/>
  <c r="F25" i="2"/>
  <c r="K25" i="2" s="1"/>
  <c r="F20" i="2"/>
  <c r="K20" i="2" s="1"/>
  <c r="F28" i="2"/>
  <c r="K28" i="2" s="1"/>
  <c r="M28" i="2" s="1"/>
  <c r="N28" i="2" s="1"/>
  <c r="Q28" i="2" s="1"/>
  <c r="W28" i="2" s="1"/>
  <c r="F21" i="2"/>
  <c r="K21" i="2" s="1"/>
  <c r="M21" i="2" s="1"/>
  <c r="N21" i="2" s="1"/>
  <c r="Q21" i="2" s="1"/>
  <c r="W21" i="2" s="1"/>
  <c r="F29" i="2"/>
  <c r="K29" i="2" s="1"/>
  <c r="F30" i="2"/>
  <c r="K30" i="2" s="1"/>
  <c r="F22" i="2"/>
  <c r="K22" i="2" s="1"/>
  <c r="M22" i="2" s="1"/>
  <c r="N22" i="2" s="1"/>
  <c r="Q22" i="2" s="1"/>
  <c r="W22" i="2" s="1"/>
  <c r="F13" i="2"/>
  <c r="F32" i="2" s="1"/>
  <c r="F23" i="4"/>
  <c r="F22" i="4"/>
  <c r="K26" i="4"/>
  <c r="M26" i="4" s="1"/>
  <c r="N26" i="4" s="1"/>
  <c r="Q26" i="4" s="1"/>
  <c r="W26" i="4" s="1"/>
  <c r="F14" i="4"/>
  <c r="F27" i="4"/>
  <c r="F19" i="4"/>
  <c r="F18" i="4"/>
  <c r="S25" i="4"/>
  <c r="U25" i="4" s="1"/>
  <c r="J25" i="4"/>
  <c r="S20" i="4"/>
  <c r="U20" i="4" s="1"/>
  <c r="S22" i="4"/>
  <c r="U22" i="4" s="1"/>
  <c r="K22" i="4"/>
  <c r="S27" i="4"/>
  <c r="U27" i="4" s="1"/>
  <c r="T32" i="4"/>
  <c r="T34" i="4" s="1"/>
  <c r="S24" i="4"/>
  <c r="U24" i="4" s="1"/>
  <c r="J24" i="4"/>
  <c r="S23" i="4"/>
  <c r="U23" i="4" s="1"/>
  <c r="J20" i="4"/>
  <c r="S28" i="4"/>
  <c r="U28" i="4" s="1"/>
  <c r="J27" i="4"/>
  <c r="K15" i="4"/>
  <c r="M15" i="4" s="1"/>
  <c r="N15" i="4" s="1"/>
  <c r="Q15" i="4" s="1"/>
  <c r="S15" i="4"/>
  <c r="U15" i="4" s="1"/>
  <c r="S13" i="4"/>
  <c r="D32" i="4"/>
  <c r="J13" i="4"/>
  <c r="K13" i="4"/>
  <c r="K19" i="4"/>
  <c r="M19" i="4" s="1"/>
  <c r="N19" i="4" s="1"/>
  <c r="Q19" i="4" s="1"/>
  <c r="S19" i="4"/>
  <c r="U19" i="4" s="1"/>
  <c r="S16" i="4"/>
  <c r="U16" i="4" s="1"/>
  <c r="G36" i="4"/>
  <c r="G34" i="4"/>
  <c r="G33" i="4"/>
  <c r="F30" i="4"/>
  <c r="G35" i="4"/>
  <c r="F16" i="4"/>
  <c r="F28" i="4"/>
  <c r="F25" i="4"/>
  <c r="F20" i="4"/>
  <c r="F29" i="4"/>
  <c r="F24" i="4"/>
  <c r="F21" i="4"/>
  <c r="F17" i="4"/>
  <c r="F13" i="4"/>
  <c r="J22" i="4"/>
  <c r="M16" i="2"/>
  <c r="N16" i="2" s="1"/>
  <c r="Q16" i="2" s="1"/>
  <c r="W16" i="2" s="1"/>
  <c r="M19" i="2"/>
  <c r="N19" i="2" s="1"/>
  <c r="Q19" i="2" s="1"/>
  <c r="W19" i="2" s="1"/>
  <c r="M27" i="2"/>
  <c r="N27" i="2" s="1"/>
  <c r="Q27" i="2" s="1"/>
  <c r="W27" i="2" s="1"/>
  <c r="M15" i="2"/>
  <c r="N15" i="2" s="1"/>
  <c r="Q15" i="2" s="1"/>
  <c r="W15" i="2" s="1"/>
  <c r="M20" i="2"/>
  <c r="N20" i="2" s="1"/>
  <c r="Q20" i="2" s="1"/>
  <c r="W20" i="2" s="1"/>
  <c r="P32" i="2"/>
  <c r="M30" i="2"/>
  <c r="N30" i="2" s="1"/>
  <c r="Q30" i="2" s="1"/>
  <c r="W30" i="2" s="1"/>
  <c r="U32" i="2"/>
  <c r="U34" i="2" s="1"/>
  <c r="F3" i="2" s="1"/>
  <c r="E3" i="2"/>
  <c r="E36" i="2"/>
  <c r="G36" i="2"/>
  <c r="T32" i="2"/>
  <c r="T34" i="2" s="1"/>
  <c r="E35" i="2"/>
  <c r="M13" i="2"/>
  <c r="N13" i="2" s="1"/>
  <c r="L32" i="2"/>
  <c r="M29" i="2"/>
  <c r="N29" i="2" s="1"/>
  <c r="Q29" i="2" s="1"/>
  <c r="W29" i="2" s="1"/>
  <c r="M25" i="2"/>
  <c r="N25" i="2" s="1"/>
  <c r="Q25" i="2" s="1"/>
  <c r="W25" i="2" s="1"/>
  <c r="J32" i="2"/>
  <c r="E34" i="2"/>
  <c r="D32" i="2"/>
  <c r="D33" i="2" s="1"/>
  <c r="P34" i="2" l="1"/>
  <c r="F5" i="2" s="1"/>
  <c r="E5" i="2"/>
  <c r="K32" i="2"/>
  <c r="W19" i="4"/>
  <c r="W15" i="4"/>
  <c r="K28" i="4"/>
  <c r="M28" i="4" s="1"/>
  <c r="N28" i="4" s="1"/>
  <c r="Q28" i="4" s="1"/>
  <c r="W28" i="4" s="1"/>
  <c r="K23" i="4"/>
  <c r="M23" i="4" s="1"/>
  <c r="N23" i="4" s="1"/>
  <c r="Q23" i="4" s="1"/>
  <c r="W23" i="4" s="1"/>
  <c r="K14" i="4"/>
  <c r="K18" i="4"/>
  <c r="M22" i="4"/>
  <c r="N22" i="4" s="1"/>
  <c r="Q22" i="4" s="1"/>
  <c r="W22" i="4" s="1"/>
  <c r="K16" i="4"/>
  <c r="M16" i="4" s="1"/>
  <c r="N16" i="4" s="1"/>
  <c r="Q16" i="4" s="1"/>
  <c r="W16" i="4" s="1"/>
  <c r="K27" i="4"/>
  <c r="M27" i="4" s="1"/>
  <c r="N27" i="4" s="1"/>
  <c r="Q27" i="4" s="1"/>
  <c r="W27" i="4" s="1"/>
  <c r="M13" i="4"/>
  <c r="J32" i="4"/>
  <c r="K24" i="4"/>
  <c r="M24" i="4" s="1"/>
  <c r="N24" i="4" s="1"/>
  <c r="Q24" i="4" s="1"/>
  <c r="W24" i="4" s="1"/>
  <c r="K20" i="4"/>
  <c r="M20" i="4" s="1"/>
  <c r="N20" i="4" s="1"/>
  <c r="Q20" i="4" s="1"/>
  <c r="W20" i="4" s="1"/>
  <c r="K21" i="4"/>
  <c r="F32" i="4"/>
  <c r="K29" i="4"/>
  <c r="D35" i="4"/>
  <c r="D33" i="4"/>
  <c r="D34" i="4"/>
  <c r="E35" i="4"/>
  <c r="K30" i="4"/>
  <c r="M30" i="4" s="1"/>
  <c r="N30" i="4" s="1"/>
  <c r="Q30" i="4" s="1"/>
  <c r="W30" i="4" s="1"/>
  <c r="K25" i="4"/>
  <c r="M25" i="4" s="1"/>
  <c r="N25" i="4" s="1"/>
  <c r="Q25" i="4" s="1"/>
  <c r="W25" i="4" s="1"/>
  <c r="K17" i="4"/>
  <c r="U13" i="4"/>
  <c r="U32" i="4" s="1"/>
  <c r="S32" i="4"/>
  <c r="S34" i="4" s="1"/>
  <c r="N32" i="2"/>
  <c r="Q13" i="2"/>
  <c r="W13" i="2" s="1"/>
  <c r="W32" i="2" s="1"/>
  <c r="M32" i="2"/>
  <c r="M14" i="4" l="1"/>
  <c r="N14" i="4" s="1"/>
  <c r="Q14" i="4" s="1"/>
  <c r="W14" i="4" s="1"/>
  <c r="M18" i="4"/>
  <c r="N18" i="4" s="1"/>
  <c r="Q18" i="4" s="1"/>
  <c r="W18" i="4" s="1"/>
  <c r="L32" i="4"/>
  <c r="M29" i="4"/>
  <c r="N29" i="4" s="1"/>
  <c r="Q29" i="4" s="1"/>
  <c r="W29" i="4" s="1"/>
  <c r="M21" i="4"/>
  <c r="N21" i="4" s="1"/>
  <c r="Q21" i="4" s="1"/>
  <c r="W21" i="4" s="1"/>
  <c r="E3" i="4"/>
  <c r="U34" i="4"/>
  <c r="F3" i="4" s="1"/>
  <c r="K32" i="4"/>
  <c r="M17" i="4"/>
  <c r="N17" i="4" s="1"/>
  <c r="Q17" i="4" s="1"/>
  <c r="W17" i="4" s="1"/>
  <c r="N13" i="4"/>
  <c r="W34" i="2"/>
  <c r="Q32" i="2"/>
  <c r="N34" i="2"/>
  <c r="F4" i="2" s="1"/>
  <c r="E4" i="2"/>
  <c r="M32" i="4" l="1"/>
  <c r="N32" i="4"/>
  <c r="Q13" i="4"/>
  <c r="E6" i="2"/>
  <c r="Q34" i="2"/>
  <c r="F6" i="2" s="1"/>
  <c r="Q32" i="4" l="1"/>
  <c r="W13" i="4"/>
  <c r="W32" i="4" s="1"/>
  <c r="W34" i="4" s="1"/>
  <c r="N34" i="4"/>
  <c r="F4" i="4" s="1"/>
  <c r="E4" i="4"/>
  <c r="Q34" i="4" l="1"/>
  <c r="F6" i="4" s="1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Boyd</author>
  </authors>
  <commentList>
    <comment ref="A30" authorId="0" shapeId="0" xr:uid="{52EE3033-ED50-48EE-9767-11E81B096134}">
      <text>
        <r>
          <rPr>
            <b/>
            <sz val="9"/>
            <color indexed="81"/>
            <rFont val="Calibri"/>
            <family val="2"/>
          </rPr>
          <t>Matt Boyd:</t>
        </r>
        <r>
          <rPr>
            <sz val="9"/>
            <color indexed="81"/>
            <rFont val="Calibri"/>
            <family val="2"/>
          </rPr>
          <t xml:space="preserve">
This is 85+ category from SNZ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Boyd</author>
  </authors>
  <commentList>
    <comment ref="A30" authorId="0" shapeId="0" xr:uid="{B0312C04-8EFC-4DE1-A757-D92DF825E3CC}">
      <text>
        <r>
          <rPr>
            <b/>
            <sz val="9"/>
            <color indexed="81"/>
            <rFont val="Calibri"/>
            <family val="2"/>
          </rPr>
          <t>Matt Boyd:</t>
        </r>
        <r>
          <rPr>
            <sz val="9"/>
            <color indexed="81"/>
            <rFont val="Calibri"/>
            <family val="2"/>
          </rPr>
          <t xml:space="preserve">
This is 85+ category from SNZ</t>
        </r>
      </text>
    </comment>
  </commentList>
</comments>
</file>

<file path=xl/sharedStrings.xml><?xml version="1.0" encoding="utf-8"?>
<sst xmlns="http://schemas.openxmlformats.org/spreadsheetml/2006/main" count="132" uniqueCount="73">
  <si>
    <t>Mid-point of 5-year age group</t>
  </si>
  <si>
    <t>85+</t>
  </si>
  <si>
    <t>Total</t>
  </si>
  <si>
    <t>Total Population</t>
  </si>
  <si>
    <t>% of Population</t>
  </si>
  <si>
    <t>Proportion of population infected</t>
  </si>
  <si>
    <t>Proportion of those population who feel bad enough to see a GP</t>
  </si>
  <si>
    <t>% of those infected</t>
  </si>
  <si>
    <t>Number seeing their GP</t>
  </si>
  <si>
    <t>Number Infected</t>
  </si>
  <si>
    <t>Number hospitalised</t>
  </si>
  <si>
    <t>Assumed Age Distribution of deaths</t>
  </si>
  <si>
    <t>Deaths</t>
  </si>
  <si>
    <t>Population Probablity of Death</t>
  </si>
  <si>
    <t>Proportion of total deaths by age group</t>
  </si>
  <si>
    <t>% of those seeing a GP</t>
  </si>
  <si>
    <t>% of those hospitalised</t>
  </si>
  <si>
    <t>Key Epidemological Inputs</t>
  </si>
  <si>
    <t>Conversion to QALYs</t>
  </si>
  <si>
    <t>QALY loss due to Mild Flu</t>
  </si>
  <si>
    <t>QALY loss due to Moderate Flu</t>
  </si>
  <si>
    <t>QALY loss due to Severe Flu</t>
  </si>
  <si>
    <t>Loss to those who neither saw a GP or were hospitalised</t>
  </si>
  <si>
    <t>Loss to those hospitalised</t>
  </si>
  <si>
    <t>Loss to those seeing a GP</t>
  </si>
  <si>
    <t>Sub-total</t>
  </si>
  <si>
    <t>Proportion of the year ill-disposed or worse</t>
  </si>
  <si>
    <t>Duration of illness (% of year)</t>
  </si>
  <si>
    <t>Value of a QALY</t>
  </si>
  <si>
    <t>Value of a life</t>
  </si>
  <si>
    <t>Value of life per person</t>
  </si>
  <si>
    <t>Lost value due to deaths in age group ($m)</t>
  </si>
  <si>
    <t>Cost of deaths</t>
  </si>
  <si>
    <t>Value of lost QALYs ($m)</t>
  </si>
  <si>
    <t>% of GDP</t>
  </si>
  <si>
    <t>Total QALY losses excluding deaths</t>
  </si>
  <si>
    <t xml:space="preserve">Key Parameters </t>
  </si>
  <si>
    <t>Total - Lost Value due to morbidity and death</t>
  </si>
  <si>
    <t>GP and Hospital Costs</t>
  </si>
  <si>
    <t>GP costs</t>
  </si>
  <si>
    <t>GP costs $m</t>
  </si>
  <si>
    <t>Hospital Costs</t>
  </si>
  <si>
    <t>Hospital Costs $m</t>
  </si>
  <si>
    <t>Total Health System costs ($m)</t>
  </si>
  <si>
    <t>Total Costs</t>
  </si>
  <si>
    <t>Statistical value of lost lives</t>
  </si>
  <si>
    <t>Cost of deaths and QALYs</t>
  </si>
  <si>
    <t>Summary table</t>
  </si>
  <si>
    <t>Cost of GP visits and hospital services</t>
  </si>
  <si>
    <t>$m</t>
  </si>
  <si>
    <t>% GDP</t>
  </si>
  <si>
    <t>Cost of lost QALY's due to morbidity</t>
  </si>
  <si>
    <t>Value of lost statistical lives</t>
  </si>
  <si>
    <t xml:space="preserve">Source of spreadsheet model is: </t>
  </si>
  <si>
    <t>https://journals.plos.org/plosone/article?id=10.1371/journal.pone.0178732#sec020</t>
  </si>
  <si>
    <t>Age distribution of deaths is input by Bryce Wilkinson based on COVID-19 indicative data</t>
  </si>
  <si>
    <t>https://www.health.govt.nz/system/files/documents/publications/preliminary_report_for_moh_-_covid-19_modelling_for_nz_-_draft_27_feb_2020.pdf</t>
  </si>
  <si>
    <t xml:space="preserve">Parameters taken from:  </t>
  </si>
  <si>
    <t>GDP $m</t>
  </si>
  <si>
    <t>Year ended June 2020, Treasury DEFU 2019</t>
  </si>
  <si>
    <t>Notes</t>
  </si>
  <si>
    <t>Addendum</t>
  </si>
  <si>
    <t>Mid-point of age range</t>
  </si>
  <si>
    <t xml:space="preserve">Hospitalisation rate </t>
  </si>
  <si>
    <t>High death rate</t>
  </si>
  <si>
    <t>Low death rate</t>
  </si>
  <si>
    <t>Proportion of population hospitalised</t>
  </si>
  <si>
    <t>This spreadsheet adapts the model behind the following article in order to better align the parametised values with those associated with Covid-19.</t>
  </si>
  <si>
    <t>Matt Boyd, Michael Baker, Osman Mansoor, Giorgi KviZhinadze and Nick Wilson, “Protecting an island nation from extreme pandemic threats: Proof-of-concept around border closure as an intervention”, PLcs One 12(6) e0178732, 2017.</t>
  </si>
  <si>
    <t xml:space="preserve">The source of spreadsheet model is: </t>
  </si>
  <si>
    <t>Interpolations from Table A3-2 in Dr Lucy Telfar Barnard, Prof Nick Wilson, Dr Amada Kvalsvig, Prof Michael Baker, :Modelled Estimates for the spread and health impact of Covid-19 in New Zealand: Revised Preliminary Report for the Ministry of Health.</t>
  </si>
  <si>
    <t>Death rate 56+</t>
  </si>
  <si>
    <t>Hospitalisation rate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</si>
</sst>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"/>
    <numFmt numFmtId="166" formatCode="&quot;$&quot;#,##0"/>
    <numFmt numFmtId="167" formatCode="&quot;$&quot;#,##0.00"/>
    <numFmt numFmtId="168" formatCode="&quot;$&quot;#,##0.0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9" fontId="0" fillId="0" borderId="0" xfId="1" applyFont="1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3" fontId="2" fillId="2" borderId="0" xfId="0" applyNumberFormat="1" applyFont="1" applyFill="1" applyAlignment="1">
      <alignment horizontal="center" vertical="center"/>
    </xf>
    <xf numFmtId="166" fontId="0" fillId="0" borderId="0" xfId="0" applyNumberFormat="1"/>
    <xf numFmtId="167" fontId="0" fillId="0" borderId="0" xfId="0" applyNumberFormat="1"/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8" fontId="0" fillId="2" borderId="0" xfId="0" applyNumberFormat="1" applyFill="1" applyAlignment="1">
      <alignment horizontal="center"/>
    </xf>
    <xf numFmtId="0" fontId="0" fillId="3" borderId="0" xfId="0" applyFill="1"/>
    <xf numFmtId="9" fontId="0" fillId="3" borderId="0" xfId="1" applyFont="1" applyFill="1" applyAlignment="1">
      <alignment horizontal="center"/>
    </xf>
    <xf numFmtId="9" fontId="0" fillId="3" borderId="0" xfId="1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8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0" fontId="2" fillId="0" borderId="0" xfId="1" applyNumberFormat="1" applyFont="1" applyAlignment="1">
      <alignment horizontal="center"/>
    </xf>
    <xf numFmtId="167" fontId="2" fillId="0" borderId="0" xfId="0" applyNumberFormat="1" applyFont="1"/>
    <xf numFmtId="0" fontId="0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166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0" fontId="0" fillId="0" borderId="7" xfId="0" applyBorder="1"/>
    <xf numFmtId="166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6" fontId="2" fillId="5" borderId="7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/>
    </xf>
    <xf numFmtId="0" fontId="5" fillId="0" borderId="0" xfId="2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169" fontId="0" fillId="0" borderId="0" xfId="3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right" wrapText="1"/>
    </xf>
    <xf numFmtId="9" fontId="0" fillId="0" borderId="0" xfId="1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ealth.govt.nz/system/files/documents/publications/preliminary_report_for_moh_-_covid-19_modelling_for_nz_-_draft_27_feb_2020.pdf" TargetMode="External"/><Relationship Id="rId1" Type="http://schemas.openxmlformats.org/officeDocument/2006/relationships/hyperlink" Target="https://journals.plos.org/plosone/article?id=10.1371/journal.pone.017873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journals.plos.org/plosone/article?id=10.1371/journal.pone.01787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E78F-4908-4C3F-A730-23A2EE95867F}">
  <dimension ref="A1:I6"/>
  <sheetViews>
    <sheetView workbookViewId="0">
      <selection activeCell="F20" sqref="F20"/>
    </sheetView>
  </sheetViews>
  <sheetFormatPr defaultRowHeight="15" x14ac:dyDescent="0.25"/>
  <sheetData>
    <row r="1" spans="1:9" x14ac:dyDescent="0.25">
      <c r="A1" t="s">
        <v>67</v>
      </c>
    </row>
    <row r="2" spans="1:9" x14ac:dyDescent="0.25">
      <c r="A2" t="s">
        <v>68</v>
      </c>
    </row>
    <row r="3" spans="1:9" x14ac:dyDescent="0.25">
      <c r="A3" s="62" t="s">
        <v>69</v>
      </c>
      <c r="I3" s="1"/>
    </row>
    <row r="4" spans="1:9" x14ac:dyDescent="0.25">
      <c r="A4" s="61" t="s">
        <v>54</v>
      </c>
    </row>
    <row r="5" spans="1:9" x14ac:dyDescent="0.25">
      <c r="A5" s="62" t="s">
        <v>57</v>
      </c>
    </row>
    <row r="6" spans="1:9" x14ac:dyDescent="0.25">
      <c r="A6" s="61" t="s">
        <v>56</v>
      </c>
    </row>
  </sheetData>
  <hyperlinks>
    <hyperlink ref="A4" r:id="rId1" location="sec020" xr:uid="{340793EA-4376-4501-A522-C7C2F40C4166}"/>
    <hyperlink ref="A6" r:id="rId2" xr:uid="{7CFDD49B-02C1-4C50-B178-F68E8C51B5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908F-3C1F-4E78-96B8-AE030E8C4559}">
  <dimension ref="A1:W36"/>
  <sheetViews>
    <sheetView workbookViewId="0">
      <selection activeCell="I4" sqref="I4"/>
    </sheetView>
  </sheetViews>
  <sheetFormatPr defaultRowHeight="15" x14ac:dyDescent="0.25"/>
  <cols>
    <col min="1" max="1" width="9.140625" style="1"/>
    <col min="3" max="3" width="14.140625" customWidth="1"/>
    <col min="4" max="4" width="11.7109375" style="17" customWidth="1"/>
    <col min="5" max="5" width="12.85546875" customWidth="1"/>
    <col min="6" max="6" width="11.7109375" customWidth="1"/>
    <col min="7" max="8" width="11.140625" customWidth="1"/>
    <col min="10" max="10" width="13.42578125" customWidth="1"/>
    <col min="11" max="11" width="12.140625" customWidth="1"/>
    <col min="12" max="12" width="12.85546875" customWidth="1"/>
    <col min="13" max="14" width="11.85546875" customWidth="1"/>
    <col min="15" max="15" width="13" customWidth="1"/>
    <col min="16" max="16" width="15.140625" style="1" customWidth="1"/>
    <col min="17" max="17" width="12.28515625" customWidth="1"/>
    <col min="19" max="19" width="12.7109375" bestFit="1" customWidth="1"/>
  </cols>
  <sheetData>
    <row r="1" spans="1:23" x14ac:dyDescent="0.25">
      <c r="B1" s="71" t="s">
        <v>47</v>
      </c>
      <c r="C1" s="72"/>
      <c r="D1" s="72"/>
      <c r="E1" s="72"/>
      <c r="F1" s="73"/>
    </row>
    <row r="2" spans="1:23" x14ac:dyDescent="0.25">
      <c r="B2" s="8"/>
      <c r="C2" s="9"/>
      <c r="D2" s="47"/>
      <c r="E2" s="56" t="s">
        <v>49</v>
      </c>
      <c r="F2" s="57" t="s">
        <v>50</v>
      </c>
    </row>
    <row r="3" spans="1:23" x14ac:dyDescent="0.25">
      <c r="B3" s="8"/>
      <c r="C3" s="9"/>
      <c r="D3" s="48" t="s">
        <v>48</v>
      </c>
      <c r="E3" s="49">
        <f>U32</f>
        <v>6896.9722936411963</v>
      </c>
      <c r="F3" s="50">
        <f>U34</f>
        <v>2.1566247744372165E-2</v>
      </c>
    </row>
    <row r="4" spans="1:23" x14ac:dyDescent="0.25">
      <c r="B4" s="8"/>
      <c r="C4" s="9"/>
      <c r="D4" s="51" t="s">
        <v>51</v>
      </c>
      <c r="E4" s="49">
        <f>N32</f>
        <v>309.81738308011069</v>
      </c>
      <c r="F4" s="50">
        <f>N34</f>
        <v>9.6877269540127922E-4</v>
      </c>
    </row>
    <row r="5" spans="1:23" x14ac:dyDescent="0.25">
      <c r="B5" s="8"/>
      <c r="C5" s="9"/>
      <c r="D5" s="51" t="s">
        <v>52</v>
      </c>
      <c r="E5" s="54">
        <f>P32</f>
        <v>12156.319718447989</v>
      </c>
      <c r="F5" s="55">
        <f>P34</f>
        <v>3.8011781336218395E-2</v>
      </c>
    </row>
    <row r="6" spans="1:23" x14ac:dyDescent="0.25">
      <c r="B6" s="52"/>
      <c r="C6" s="53"/>
      <c r="D6" s="58" t="s">
        <v>2</v>
      </c>
      <c r="E6" s="59">
        <f>SUM(E3:E5)</f>
        <v>19363.109395169296</v>
      </c>
      <c r="F6" s="60">
        <f>SUM(F3:F5)</f>
        <v>6.0546801775991838E-2</v>
      </c>
    </row>
    <row r="9" spans="1:23" x14ac:dyDescent="0.25">
      <c r="C9" s="69" t="s">
        <v>17</v>
      </c>
      <c r="D9" s="69"/>
      <c r="E9" s="69"/>
      <c r="F9" s="69"/>
      <c r="G9" s="69"/>
      <c r="H9" s="3"/>
      <c r="J9" s="69" t="s">
        <v>18</v>
      </c>
      <c r="K9" s="69"/>
      <c r="L9" s="69"/>
      <c r="M9" s="69"/>
      <c r="O9" s="70" t="s">
        <v>32</v>
      </c>
      <c r="P9" s="70"/>
      <c r="S9" t="s">
        <v>38</v>
      </c>
    </row>
    <row r="10" spans="1:23" ht="90" x14ac:dyDescent="0.25">
      <c r="C10" s="7" t="s">
        <v>5</v>
      </c>
      <c r="D10" s="6" t="s">
        <v>6</v>
      </c>
      <c r="E10" s="63" t="s">
        <v>66</v>
      </c>
      <c r="F10" s="11" t="s">
        <v>11</v>
      </c>
      <c r="G10" s="11" t="s">
        <v>13</v>
      </c>
      <c r="H10" s="11" t="s">
        <v>26</v>
      </c>
      <c r="J10" s="11" t="s">
        <v>19</v>
      </c>
      <c r="K10" s="11" t="s">
        <v>20</v>
      </c>
      <c r="L10" s="11" t="s">
        <v>21</v>
      </c>
      <c r="M10" s="25" t="s">
        <v>25</v>
      </c>
      <c r="N10" s="25" t="s">
        <v>28</v>
      </c>
      <c r="O10" s="11" t="s">
        <v>29</v>
      </c>
      <c r="P10" s="11" t="s">
        <v>45</v>
      </c>
      <c r="Q10" s="45" t="s">
        <v>46</v>
      </c>
      <c r="S10" t="s">
        <v>39</v>
      </c>
      <c r="T10" s="6" t="s">
        <v>41</v>
      </c>
    </row>
    <row r="11" spans="1:23" x14ac:dyDescent="0.25">
      <c r="A11" s="46" t="s">
        <v>36</v>
      </c>
      <c r="B11" s="34"/>
      <c r="C11" s="35">
        <v>0.65</v>
      </c>
      <c r="D11" s="36">
        <f>0.34</f>
        <v>0.34</v>
      </c>
      <c r="E11" s="15">
        <f>E32/B32</f>
        <v>6.7616108443405737E-2</v>
      </c>
      <c r="G11" s="23">
        <f>G32/B32</f>
        <v>6.7618120827585603E-3</v>
      </c>
      <c r="H11" s="21"/>
      <c r="J11" s="37">
        <v>1E-4</v>
      </c>
      <c r="K11" s="37">
        <v>2E-3</v>
      </c>
      <c r="L11" s="37">
        <v>1.21E-2</v>
      </c>
      <c r="M11" s="26"/>
      <c r="N11" s="38">
        <v>52500</v>
      </c>
      <c r="S11" s="38">
        <v>60</v>
      </c>
      <c r="T11" s="38">
        <v>20225</v>
      </c>
    </row>
    <row r="12" spans="1:23" ht="75" x14ac:dyDescent="0.25">
      <c r="A12" s="11" t="s">
        <v>0</v>
      </c>
      <c r="B12" s="11" t="s">
        <v>3</v>
      </c>
      <c r="C12" s="11" t="s">
        <v>9</v>
      </c>
      <c r="D12" s="11" t="s">
        <v>8</v>
      </c>
      <c r="E12" s="11" t="s">
        <v>10</v>
      </c>
      <c r="F12" s="11" t="s">
        <v>14</v>
      </c>
      <c r="G12" s="11" t="s">
        <v>12</v>
      </c>
      <c r="H12" s="11" t="s">
        <v>27</v>
      </c>
      <c r="J12" s="11" t="s">
        <v>22</v>
      </c>
      <c r="K12" s="11" t="s">
        <v>24</v>
      </c>
      <c r="L12" s="11" t="s">
        <v>23</v>
      </c>
      <c r="M12" s="25" t="s">
        <v>35</v>
      </c>
      <c r="N12" s="25" t="s">
        <v>33</v>
      </c>
      <c r="O12" s="11" t="s">
        <v>30</v>
      </c>
      <c r="P12" s="11" t="s">
        <v>31</v>
      </c>
      <c r="Q12" s="5" t="s">
        <v>37</v>
      </c>
      <c r="S12" t="s">
        <v>40</v>
      </c>
      <c r="T12" s="11" t="s">
        <v>42</v>
      </c>
      <c r="U12" s="10" t="s">
        <v>43</v>
      </c>
      <c r="W12" s="10" t="s">
        <v>44</v>
      </c>
    </row>
    <row r="13" spans="1:23" x14ac:dyDescent="0.25">
      <c r="A13" s="1">
        <v>2</v>
      </c>
      <c r="B13" s="13">
        <v>340273.39456600341</v>
      </c>
      <c r="C13" s="13">
        <f>B13*$C$11</f>
        <v>221177.70646790223</v>
      </c>
      <c r="D13" s="18">
        <f>B13*$D$11</f>
        <v>115692.95415244116</v>
      </c>
      <c r="E13" s="18">
        <f>Addendum!B4</f>
        <v>1571.9812765127504</v>
      </c>
      <c r="F13" s="16">
        <f>G13/$G$32</f>
        <v>0</v>
      </c>
      <c r="G13" s="18">
        <f>Addendum!C4</f>
        <v>0</v>
      </c>
      <c r="H13" s="16">
        <v>2.6534839000000001E-2</v>
      </c>
      <c r="J13" s="24">
        <f>J$11*(C13-D13-E13)*(1-H13)</f>
        <v>10.115546238938595</v>
      </c>
      <c r="K13" s="24">
        <f>K$11*D13*(1-H13)</f>
        <v>225.24612048114352</v>
      </c>
      <c r="L13" s="24">
        <f>L$11*E13*(1-H13)</f>
        <v>18.516254977796589</v>
      </c>
      <c r="M13" s="27">
        <f>SUM(J13:L13)</f>
        <v>253.87792169787872</v>
      </c>
      <c r="N13" s="33">
        <f>M13*$N$11*10^-6</f>
        <v>13.328590889138633</v>
      </c>
      <c r="O13" s="29">
        <v>1288000</v>
      </c>
      <c r="P13" s="31">
        <f>O13*G13*10^-6</f>
        <v>0</v>
      </c>
      <c r="Q13" s="39">
        <f>N13+P13</f>
        <v>13.328590889138633</v>
      </c>
      <c r="S13" s="42">
        <f>D13*$S$11*10^-6</f>
        <v>6.9415772491464693</v>
      </c>
      <c r="T13" s="30">
        <f>$T$11*E13*10^-6</f>
        <v>31.793321317470372</v>
      </c>
      <c r="U13" s="44">
        <f>SUM(S13:T13)</f>
        <v>38.734898566616842</v>
      </c>
      <c r="W13" s="44">
        <f>Q13+U13</f>
        <v>52.063489455755473</v>
      </c>
    </row>
    <row r="14" spans="1:23" x14ac:dyDescent="0.25">
      <c r="A14" s="1">
        <f>A13+5</f>
        <v>7</v>
      </c>
      <c r="B14" s="13">
        <v>337683.96262652567</v>
      </c>
      <c r="C14" s="13">
        <f t="shared" ref="C14:C30" si="0">B14*$C$11</f>
        <v>219494.57570724169</v>
      </c>
      <c r="D14" s="18">
        <f t="shared" ref="D14:D30" si="1">B14*$D$11</f>
        <v>114812.54729301874</v>
      </c>
      <c r="E14" s="18">
        <f>Addendum!B5</f>
        <v>1560.0187234872492</v>
      </c>
      <c r="F14" s="16">
        <f t="shared" ref="F14:F30" si="2">G14/$G$32</f>
        <v>0</v>
      </c>
      <c r="G14" s="18">
        <f>Addendum!C5</f>
        <v>0</v>
      </c>
      <c r="H14" s="16">
        <v>3.1187456999999998E-2</v>
      </c>
      <c r="J14" s="24">
        <f t="shared" ref="J14:J30" si="3">J$11*(C14-D14-E14)*(1-H14)</f>
        <v>9.9905896447752305</v>
      </c>
      <c r="K14" s="24">
        <f t="shared" ref="K14:K30" si="4">K$11*(D14-E14-F14)*(1-H14)</f>
        <v>219.44094040925592</v>
      </c>
      <c r="L14" s="24">
        <f t="shared" ref="L14:L30" si="5">L$11*E14*(1-H14)</f>
        <v>18.287525050214477</v>
      </c>
      <c r="M14" s="27">
        <f t="shared" ref="M14:M30" si="6">SUM(J14:L14)</f>
        <v>247.71905510424563</v>
      </c>
      <c r="N14" s="33">
        <f t="shared" ref="N14:N30" si="7">M14*$N$11*10^-6</f>
        <v>13.005250392972895</v>
      </c>
      <c r="O14" s="29">
        <v>1274000</v>
      </c>
      <c r="P14" s="31">
        <f t="shared" ref="P14:P30" si="8">O14*G14*10^-6</f>
        <v>0</v>
      </c>
      <c r="Q14" s="39">
        <f t="shared" ref="Q14:Q30" si="9">N14+P14</f>
        <v>13.005250392972895</v>
      </c>
      <c r="S14" s="42">
        <f t="shared" ref="S14:S30" si="10">D14*$S$11*10^-6</f>
        <v>6.8887528375811238</v>
      </c>
      <c r="T14" s="30">
        <f t="shared" ref="T14:T30" si="11">$T$11*E14*10^-6</f>
        <v>31.551378682529613</v>
      </c>
      <c r="U14" s="44">
        <f t="shared" ref="U14:U30" si="12">SUM(S14:T14)</f>
        <v>38.440131520110739</v>
      </c>
      <c r="W14" s="44">
        <f t="shared" ref="W14:W30" si="13">Q14+U14</f>
        <v>51.445381913083637</v>
      </c>
    </row>
    <row r="15" spans="1:23" x14ac:dyDescent="0.25">
      <c r="A15" s="1">
        <f t="shared" ref="A15:A29" si="14">A14+5</f>
        <v>12</v>
      </c>
      <c r="B15" s="13">
        <v>325970.91517263296</v>
      </c>
      <c r="C15" s="13">
        <f t="shared" si="0"/>
        <v>211881.09486221144</v>
      </c>
      <c r="D15" s="18">
        <f t="shared" si="1"/>
        <v>110830.11115869522</v>
      </c>
      <c r="E15" s="18">
        <f>Addendum!B6</f>
        <v>2025.7274905236211</v>
      </c>
      <c r="F15" s="16">
        <f t="shared" si="2"/>
        <v>2.7449474551093615E-4</v>
      </c>
      <c r="G15" s="18">
        <f>Addendum!C6</f>
        <v>9.2232979439129661</v>
      </c>
      <c r="H15" s="16">
        <v>3.2965875999999998E-2</v>
      </c>
      <c r="J15" s="24">
        <f t="shared" si="3"/>
        <v>9.5760801895806846</v>
      </c>
      <c r="K15" s="24">
        <f t="shared" si="4"/>
        <v>210.4351031649289</v>
      </c>
      <c r="L15" s="24">
        <f t="shared" si="5"/>
        <v>23.70326607206086</v>
      </c>
      <c r="M15" s="27">
        <f t="shared" si="6"/>
        <v>243.71444942657047</v>
      </c>
      <c r="N15" s="33">
        <f t="shared" si="7"/>
        <v>12.795008594894949</v>
      </c>
      <c r="O15" s="29">
        <v>1237000</v>
      </c>
      <c r="P15" s="31">
        <f t="shared" si="8"/>
        <v>11.409219556620338</v>
      </c>
      <c r="Q15" s="39">
        <f t="shared" si="9"/>
        <v>24.204228151515288</v>
      </c>
      <c r="S15" s="42">
        <f t="shared" si="10"/>
        <v>6.6498066695217126</v>
      </c>
      <c r="T15" s="30">
        <f t="shared" si="11"/>
        <v>40.970338495840238</v>
      </c>
      <c r="U15" s="44">
        <f t="shared" si="12"/>
        <v>47.620145165361947</v>
      </c>
      <c r="W15" s="44">
        <f t="shared" si="13"/>
        <v>71.824373316877228</v>
      </c>
    </row>
    <row r="16" spans="1:23" x14ac:dyDescent="0.25">
      <c r="A16" s="1">
        <f t="shared" si="14"/>
        <v>17</v>
      </c>
      <c r="B16" s="13">
        <v>345529.39046017727</v>
      </c>
      <c r="C16" s="13">
        <f t="shared" si="0"/>
        <v>224594.10379911523</v>
      </c>
      <c r="D16" s="18">
        <f t="shared" si="1"/>
        <v>117479.99275646028</v>
      </c>
      <c r="E16" s="18">
        <f>Addendum!B7</f>
        <v>2147.2725094763791</v>
      </c>
      <c r="F16" s="16">
        <f t="shared" si="2"/>
        <v>2.9096461581759576E-4</v>
      </c>
      <c r="G16" s="18">
        <f>Addendum!C7</f>
        <v>9.7767020560870357</v>
      </c>
      <c r="H16" s="16">
        <v>7.5852795000000001E-2</v>
      </c>
      <c r="J16" s="24">
        <f t="shared" si="3"/>
        <v>9.700481044812328</v>
      </c>
      <c r="K16" s="24">
        <f t="shared" si="4"/>
        <v>213.16882158480593</v>
      </c>
      <c r="L16" s="24">
        <f t="shared" si="5"/>
        <v>24.011190244871777</v>
      </c>
      <c r="M16" s="27">
        <f t="shared" si="6"/>
        <v>246.88049287449005</v>
      </c>
      <c r="N16" s="33">
        <f t="shared" si="7"/>
        <v>12.961225875910726</v>
      </c>
      <c r="O16" s="29">
        <v>1172000</v>
      </c>
      <c r="P16" s="31">
        <f t="shared" si="8"/>
        <v>11.458294809734005</v>
      </c>
      <c r="Q16" s="39">
        <f t="shared" si="9"/>
        <v>24.419520685644731</v>
      </c>
      <c r="S16" s="42">
        <f t="shared" si="10"/>
        <v>7.0487995653876165</v>
      </c>
      <c r="T16" s="30">
        <f t="shared" si="11"/>
        <v>43.428586504159767</v>
      </c>
      <c r="U16" s="44">
        <f t="shared" si="12"/>
        <v>50.477386069547386</v>
      </c>
      <c r="W16" s="44">
        <f t="shared" si="13"/>
        <v>74.89690675519212</v>
      </c>
    </row>
    <row r="17" spans="1:23" x14ac:dyDescent="0.25">
      <c r="A17" s="1">
        <f t="shared" si="14"/>
        <v>22</v>
      </c>
      <c r="B17" s="13">
        <v>358829.15365570737</v>
      </c>
      <c r="C17" s="13">
        <f t="shared" si="0"/>
        <v>233238.94987620981</v>
      </c>
      <c r="D17" s="18">
        <f t="shared" si="1"/>
        <v>122001.91224294051</v>
      </c>
      <c r="E17" s="18">
        <f>Addendum!B8</f>
        <v>11187.389285135352</v>
      </c>
      <c r="F17" s="16">
        <f t="shared" si="2"/>
        <v>1.6024492397212643E-3</v>
      </c>
      <c r="G17" s="18">
        <f>Addendum!C8</f>
        <v>53.843896903874203</v>
      </c>
      <c r="H17" s="16">
        <v>8.8314894000000005E-2</v>
      </c>
      <c r="J17" s="24">
        <f t="shared" si="3"/>
        <v>9.1213774259531242</v>
      </c>
      <c r="K17" s="24">
        <f t="shared" si="4"/>
        <v>202.05589729639388</v>
      </c>
      <c r="L17" s="24">
        <f t="shared" si="5"/>
        <v>123.41245185401084</v>
      </c>
      <c r="M17" s="27">
        <f t="shared" si="6"/>
        <v>334.58972657635786</v>
      </c>
      <c r="N17" s="33">
        <f t="shared" si="7"/>
        <v>17.565960645258787</v>
      </c>
      <c r="O17" s="29">
        <v>1133000</v>
      </c>
      <c r="P17" s="31">
        <f t="shared" si="8"/>
        <v>61.005135192089476</v>
      </c>
      <c r="Q17" s="39">
        <f t="shared" si="9"/>
        <v>78.571095837348267</v>
      </c>
      <c r="S17" s="42">
        <f t="shared" si="10"/>
        <v>7.3201147345764301</v>
      </c>
      <c r="T17" s="30">
        <f t="shared" si="11"/>
        <v>226.26494829186248</v>
      </c>
      <c r="U17" s="44">
        <f t="shared" si="12"/>
        <v>233.58506302643892</v>
      </c>
      <c r="W17" s="44">
        <f t="shared" si="13"/>
        <v>312.1561588637872</v>
      </c>
    </row>
    <row r="18" spans="1:23" x14ac:dyDescent="0.25">
      <c r="A18" s="1">
        <f t="shared" si="14"/>
        <v>27</v>
      </c>
      <c r="B18" s="13">
        <v>320924.27760548069</v>
      </c>
      <c r="C18" s="13">
        <f t="shared" si="0"/>
        <v>208600.78044356246</v>
      </c>
      <c r="D18" s="18">
        <f t="shared" si="1"/>
        <v>109114.25438586345</v>
      </c>
      <c r="E18" s="18">
        <f>Addendum!B9</f>
        <v>10005.610714864646</v>
      </c>
      <c r="F18" s="16">
        <f t="shared" si="2"/>
        <v>1.433174700042433E-3</v>
      </c>
      <c r="G18" s="18">
        <f>Addendum!C9</f>
        <v>48.15610309612579</v>
      </c>
      <c r="H18" s="16">
        <v>9.9846751999999997E-2</v>
      </c>
      <c r="J18" s="24">
        <f t="shared" si="3"/>
        <v>8.0546536579865382</v>
      </c>
      <c r="K18" s="24">
        <f t="shared" si="4"/>
        <v>178.42593243049473</v>
      </c>
      <c r="L18" s="24">
        <f t="shared" si="5"/>
        <v>108.97965409682905</v>
      </c>
      <c r="M18" s="27">
        <f t="shared" si="6"/>
        <v>295.46024018531034</v>
      </c>
      <c r="N18" s="33">
        <f t="shared" si="7"/>
        <v>15.511662609728791</v>
      </c>
      <c r="O18" s="29">
        <v>1093000</v>
      </c>
      <c r="P18" s="31">
        <f t="shared" si="8"/>
        <v>52.634620684065489</v>
      </c>
      <c r="Q18" s="39">
        <f t="shared" si="9"/>
        <v>68.146283293794284</v>
      </c>
      <c r="S18" s="42">
        <f t="shared" si="10"/>
        <v>6.5468552631518069</v>
      </c>
      <c r="T18" s="30">
        <f t="shared" si="11"/>
        <v>202.36347670813745</v>
      </c>
      <c r="U18" s="44">
        <f t="shared" si="12"/>
        <v>208.91033197128925</v>
      </c>
      <c r="W18" s="44">
        <f t="shared" si="13"/>
        <v>277.05661526508356</v>
      </c>
    </row>
    <row r="19" spans="1:23" x14ac:dyDescent="0.25">
      <c r="A19" s="1">
        <f t="shared" si="14"/>
        <v>32</v>
      </c>
      <c r="B19" s="13">
        <v>305916.59121582692</v>
      </c>
      <c r="C19" s="13">
        <f t="shared" si="0"/>
        <v>198845.7842902875</v>
      </c>
      <c r="D19" s="18">
        <f t="shared" si="1"/>
        <v>104011.64101338116</v>
      </c>
      <c r="E19" s="18">
        <f>Addendum!B10</f>
        <v>24103.618287478432</v>
      </c>
      <c r="F19" s="16">
        <f t="shared" si="2"/>
        <v>4.2314348173164316E-3</v>
      </c>
      <c r="G19" s="18">
        <f>Addendum!C10</f>
        <v>142.18044129664941</v>
      </c>
      <c r="H19" s="16">
        <v>0.101813984</v>
      </c>
      <c r="J19" s="24">
        <f t="shared" si="3"/>
        <v>6.3529168449842706</v>
      </c>
      <c r="K19" s="24">
        <f t="shared" si="4"/>
        <v>143.54452955600092</v>
      </c>
      <c r="L19" s="24">
        <f t="shared" si="5"/>
        <v>261.95934785786147</v>
      </c>
      <c r="M19" s="27">
        <f t="shared" si="6"/>
        <v>411.85679425884666</v>
      </c>
      <c r="N19" s="33">
        <f t="shared" si="7"/>
        <v>21.62248169858945</v>
      </c>
      <c r="O19" s="29">
        <v>1050000</v>
      </c>
      <c r="P19" s="31">
        <f t="shared" si="8"/>
        <v>149.28946336148186</v>
      </c>
      <c r="Q19" s="39">
        <f t="shared" si="9"/>
        <v>170.9119450600713</v>
      </c>
      <c r="S19" s="42">
        <f t="shared" si="10"/>
        <v>6.2406984608028697</v>
      </c>
      <c r="T19" s="30">
        <f t="shared" si="11"/>
        <v>487.49567986425126</v>
      </c>
      <c r="U19" s="44">
        <f t="shared" si="12"/>
        <v>493.73637832505415</v>
      </c>
      <c r="W19" s="44">
        <f t="shared" si="13"/>
        <v>664.64832338512542</v>
      </c>
    </row>
    <row r="20" spans="1:23" x14ac:dyDescent="0.25">
      <c r="A20" s="1">
        <f t="shared" si="14"/>
        <v>37</v>
      </c>
      <c r="B20" s="13">
        <v>300836.89707072388</v>
      </c>
      <c r="C20" s="13">
        <f t="shared" si="0"/>
        <v>195543.98309597053</v>
      </c>
      <c r="D20" s="18">
        <f t="shared" si="1"/>
        <v>102284.54500404613</v>
      </c>
      <c r="E20" s="18">
        <f>Addendum!B11</f>
        <v>23703.381712521561</v>
      </c>
      <c r="F20" s="16">
        <f t="shared" si="2"/>
        <v>4.1611725455596724E-3</v>
      </c>
      <c r="G20" s="18">
        <f>Addendum!C11</f>
        <v>139.81955870335057</v>
      </c>
      <c r="H20" s="16">
        <v>0.11076796699999999</v>
      </c>
      <c r="J20" s="24">
        <f t="shared" si="3"/>
        <v>6.1851473421719012</v>
      </c>
      <c r="K20" s="24">
        <f t="shared" si="4"/>
        <v>139.75376777795887</v>
      </c>
      <c r="L20" s="24">
        <f t="shared" si="5"/>
        <v>255.04145634132686</v>
      </c>
      <c r="M20" s="27">
        <f t="shared" si="6"/>
        <v>400.98037146145759</v>
      </c>
      <c r="N20" s="33">
        <f t="shared" si="7"/>
        <v>21.051469501726523</v>
      </c>
      <c r="O20" s="29">
        <v>994000</v>
      </c>
      <c r="P20" s="31">
        <f t="shared" si="8"/>
        <v>138.98064135113046</v>
      </c>
      <c r="Q20" s="39">
        <f t="shared" si="9"/>
        <v>160.03211085285699</v>
      </c>
      <c r="S20" s="42">
        <f t="shared" si="10"/>
        <v>6.1370727002427676</v>
      </c>
      <c r="T20" s="30">
        <f t="shared" si="11"/>
        <v>479.40089513574856</v>
      </c>
      <c r="U20" s="44">
        <f t="shared" si="12"/>
        <v>485.53796783599131</v>
      </c>
      <c r="W20" s="44">
        <f t="shared" si="13"/>
        <v>645.5700786888483</v>
      </c>
    </row>
    <row r="21" spans="1:23" x14ac:dyDescent="0.25">
      <c r="A21" s="1">
        <f t="shared" si="14"/>
        <v>42</v>
      </c>
      <c r="B21" s="13">
        <v>345595.50361607881</v>
      </c>
      <c r="C21" s="13">
        <f t="shared" si="0"/>
        <v>224637.07735045123</v>
      </c>
      <c r="D21" s="18">
        <f t="shared" si="1"/>
        <v>117502.4712294668</v>
      </c>
      <c r="E21" s="18">
        <f>Addendum!B12</f>
        <v>21926.644520186263</v>
      </c>
      <c r="F21" s="16">
        <f t="shared" si="2"/>
        <v>7.1993768489416431E-3</v>
      </c>
      <c r="G21" s="18">
        <f>Addendum!C12</f>
        <v>241.90626150128816</v>
      </c>
      <c r="H21" s="16">
        <v>0.113425919</v>
      </c>
      <c r="J21" s="24">
        <f t="shared" si="3"/>
        <v>7.5543170250110929</v>
      </c>
      <c r="K21" s="24">
        <f t="shared" si="4"/>
        <v>169.47008869562944</v>
      </c>
      <c r="L21" s="24">
        <f t="shared" si="5"/>
        <v>235.21909605026363</v>
      </c>
      <c r="M21" s="27">
        <f t="shared" si="6"/>
        <v>412.24350177090417</v>
      </c>
      <c r="N21" s="33">
        <f t="shared" si="7"/>
        <v>21.642783842972467</v>
      </c>
      <c r="O21" s="29">
        <v>936000</v>
      </c>
      <c r="P21" s="31">
        <f t="shared" si="8"/>
        <v>226.4242607652057</v>
      </c>
      <c r="Q21" s="39">
        <f t="shared" si="9"/>
        <v>248.06704460817818</v>
      </c>
      <c r="S21" s="42">
        <f t="shared" si="10"/>
        <v>7.0501482737680075</v>
      </c>
      <c r="T21" s="30">
        <f t="shared" si="11"/>
        <v>443.46638542076715</v>
      </c>
      <c r="U21" s="44">
        <f t="shared" si="12"/>
        <v>450.51653369453516</v>
      </c>
      <c r="W21" s="44">
        <f t="shared" si="13"/>
        <v>698.58357830271336</v>
      </c>
    </row>
    <row r="22" spans="1:23" x14ac:dyDescent="0.25">
      <c r="A22" s="1">
        <f t="shared" si="14"/>
        <v>47</v>
      </c>
      <c r="B22" s="13">
        <v>343006.07167660113</v>
      </c>
      <c r="C22" s="13">
        <f t="shared" si="0"/>
        <v>222953.94658979075</v>
      </c>
      <c r="D22" s="18">
        <f t="shared" si="1"/>
        <v>116622.06437004439</v>
      </c>
      <c r="E22" s="18">
        <f>Addendum!B13</f>
        <v>21762.355479813741</v>
      </c>
      <c r="F22" s="16">
        <f t="shared" si="2"/>
        <v>7.1454343173926928E-3</v>
      </c>
      <c r="G22" s="18">
        <f>Addendum!C13</f>
        <v>240.09373849871187</v>
      </c>
      <c r="H22" s="16">
        <v>0.12637388799999999</v>
      </c>
      <c r="J22" s="24">
        <f t="shared" si="3"/>
        <v>7.3882146839487373</v>
      </c>
      <c r="K22" s="24">
        <f t="shared" si="4"/>
        <v>165.74382484157206</v>
      </c>
      <c r="L22" s="24">
        <f t="shared" si="5"/>
        <v>230.04716027007802</v>
      </c>
      <c r="M22" s="27">
        <f t="shared" si="6"/>
        <v>403.17919979559883</v>
      </c>
      <c r="N22" s="33">
        <f t="shared" si="7"/>
        <v>21.166907989268939</v>
      </c>
      <c r="O22" s="29">
        <v>865000</v>
      </c>
      <c r="P22" s="31">
        <f t="shared" si="8"/>
        <v>207.68108380138574</v>
      </c>
      <c r="Q22" s="39">
        <f t="shared" si="9"/>
        <v>228.84799179065467</v>
      </c>
      <c r="S22" s="42">
        <f t="shared" si="10"/>
        <v>6.9973238622026628</v>
      </c>
      <c r="T22" s="30">
        <f t="shared" si="11"/>
        <v>440.14363957923291</v>
      </c>
      <c r="U22" s="44">
        <f t="shared" si="12"/>
        <v>447.14096344143559</v>
      </c>
      <c r="W22" s="44">
        <f t="shared" si="13"/>
        <v>675.98895523209023</v>
      </c>
    </row>
    <row r="23" spans="1:23" x14ac:dyDescent="0.25">
      <c r="A23" s="1">
        <f t="shared" si="14"/>
        <v>52</v>
      </c>
      <c r="B23" s="13">
        <v>349749.61357856006</v>
      </c>
      <c r="C23" s="13">
        <f t="shared" si="0"/>
        <v>227337.24882606405</v>
      </c>
      <c r="D23" s="18">
        <f t="shared" si="1"/>
        <v>118914.86861671043</v>
      </c>
      <c r="E23" s="18">
        <f>Addendum!B14</f>
        <v>34928.658849149841</v>
      </c>
      <c r="F23" s="16">
        <f t="shared" si="2"/>
        <v>3.3579623734320684E-2</v>
      </c>
      <c r="G23" s="18">
        <f>Addendum!C14</f>
        <v>1128.3089370969092</v>
      </c>
      <c r="H23" s="16">
        <v>0.12549874</v>
      </c>
      <c r="J23" s="24">
        <f t="shared" si="3"/>
        <v>6.4270351931587122</v>
      </c>
      <c r="K23" s="24">
        <f t="shared" si="4"/>
        <v>146.89203379786557</v>
      </c>
      <c r="L23" s="24">
        <f t="shared" si="5"/>
        <v>369.59638970166935</v>
      </c>
      <c r="M23" s="27">
        <f t="shared" si="6"/>
        <v>522.91545869269362</v>
      </c>
      <c r="N23" s="33">
        <f t="shared" si="7"/>
        <v>27.453061581366416</v>
      </c>
      <c r="O23" s="29">
        <v>789000</v>
      </c>
      <c r="P23" s="31">
        <f t="shared" si="8"/>
        <v>890.23575136946124</v>
      </c>
      <c r="Q23" s="39">
        <f t="shared" si="9"/>
        <v>917.6888129508277</v>
      </c>
      <c r="S23" s="42">
        <f t="shared" si="10"/>
        <v>7.134892117002626</v>
      </c>
      <c r="T23" s="30">
        <f t="shared" si="11"/>
        <v>706.43212522405554</v>
      </c>
      <c r="U23" s="44">
        <f t="shared" si="12"/>
        <v>713.5670173410582</v>
      </c>
      <c r="W23" s="44">
        <f t="shared" si="13"/>
        <v>1631.255830291886</v>
      </c>
    </row>
    <row r="24" spans="1:23" x14ac:dyDescent="0.25">
      <c r="A24" s="1">
        <f t="shared" si="14"/>
        <v>57</v>
      </c>
      <c r="B24" s="13">
        <v>308021.19334535988</v>
      </c>
      <c r="C24" s="13">
        <f t="shared" si="0"/>
        <v>200213.77567448391</v>
      </c>
      <c r="D24" s="18">
        <f t="shared" si="1"/>
        <v>104727.20573742237</v>
      </c>
      <c r="E24" s="18">
        <f>Addendum!B15</f>
        <v>30761.341150850152</v>
      </c>
      <c r="F24" s="16">
        <f t="shared" si="2"/>
        <v>2.9573258620371141E-2</v>
      </c>
      <c r="G24" s="18">
        <f>Addendum!C15</f>
        <v>993.69106290309071</v>
      </c>
      <c r="H24" s="16">
        <v>0.14344340699999999</v>
      </c>
      <c r="J24" s="24">
        <f t="shared" si="3"/>
        <v>5.5440821450262758</v>
      </c>
      <c r="K24" s="24">
        <f t="shared" si="4"/>
        <v>126.71184727480799</v>
      </c>
      <c r="L24" s="24">
        <f t="shared" si="5"/>
        <v>318.82083782462314</v>
      </c>
      <c r="M24" s="27">
        <f t="shared" si="6"/>
        <v>451.07676724445741</v>
      </c>
      <c r="N24" s="33">
        <f t="shared" si="7"/>
        <v>23.681530280334012</v>
      </c>
      <c r="O24" s="29">
        <v>707000</v>
      </c>
      <c r="P24" s="31">
        <f t="shared" si="8"/>
        <v>702.53958147248511</v>
      </c>
      <c r="Q24" s="39">
        <f t="shared" si="9"/>
        <v>726.22111175281907</v>
      </c>
      <c r="S24" s="42">
        <f t="shared" si="10"/>
        <v>6.2836323442453415</v>
      </c>
      <c r="T24" s="30">
        <f t="shared" si="11"/>
        <v>622.14812477594432</v>
      </c>
      <c r="U24" s="44">
        <f t="shared" si="12"/>
        <v>628.43175712018967</v>
      </c>
      <c r="W24" s="44">
        <f t="shared" si="13"/>
        <v>1354.6528688730086</v>
      </c>
    </row>
    <row r="25" spans="1:23" x14ac:dyDescent="0.25">
      <c r="A25" s="1">
        <f t="shared" si="14"/>
        <v>62</v>
      </c>
      <c r="B25" s="13">
        <v>270215.48702898552</v>
      </c>
      <c r="C25" s="13">
        <f t="shared" si="0"/>
        <v>175640.06656884059</v>
      </c>
      <c r="D25" s="18">
        <f t="shared" si="1"/>
        <v>91873.265589855087</v>
      </c>
      <c r="E25" s="18">
        <f>Addendum!B16</f>
        <v>33763.958874130571</v>
      </c>
      <c r="F25" s="16">
        <f t="shared" si="2"/>
        <v>8.9965544651143092E-2</v>
      </c>
      <c r="G25" s="18">
        <f>Addendum!C16</f>
        <v>3022.932265823059</v>
      </c>
      <c r="H25" s="16">
        <v>0.16548806499999999</v>
      </c>
      <c r="J25" s="24">
        <f t="shared" si="3"/>
        <v>4.1727968520421959</v>
      </c>
      <c r="K25" s="24">
        <f t="shared" si="4"/>
        <v>96.985669823054025</v>
      </c>
      <c r="L25" s="24">
        <f t="shared" si="5"/>
        <v>340.93476250506455</v>
      </c>
      <c r="M25" s="27">
        <f t="shared" si="6"/>
        <v>442.09322918016079</v>
      </c>
      <c r="N25" s="33">
        <f t="shared" si="7"/>
        <v>23.20989453195844</v>
      </c>
      <c r="O25" s="29">
        <v>612000</v>
      </c>
      <c r="P25" s="31">
        <f t="shared" si="8"/>
        <v>1850.0345466837118</v>
      </c>
      <c r="Q25" s="39">
        <f t="shared" si="9"/>
        <v>1873.2444412156703</v>
      </c>
      <c r="S25" s="42">
        <f t="shared" si="10"/>
        <v>5.5123959353913046</v>
      </c>
      <c r="T25" s="30">
        <f t="shared" si="11"/>
        <v>682.87606822929081</v>
      </c>
      <c r="U25" s="44">
        <f t="shared" si="12"/>
        <v>688.38846416468209</v>
      </c>
      <c r="W25" s="44">
        <f t="shared" si="13"/>
        <v>2561.6329053803524</v>
      </c>
    </row>
    <row r="26" spans="1:23" x14ac:dyDescent="0.25">
      <c r="A26" s="1">
        <f t="shared" si="14"/>
        <v>67</v>
      </c>
      <c r="B26" s="13">
        <v>238315.88930648364</v>
      </c>
      <c r="C26" s="13">
        <f t="shared" si="0"/>
        <v>154905.32804921438</v>
      </c>
      <c r="D26" s="18">
        <f t="shared" si="1"/>
        <v>81027.402364204449</v>
      </c>
      <c r="E26" s="18">
        <f>Addendum!B17</f>
        <v>29778.041125869426</v>
      </c>
      <c r="F26" s="16">
        <f t="shared" si="2"/>
        <v>7.9344892538226255E-2</v>
      </c>
      <c r="G26" s="18">
        <f>Addendum!C17</f>
        <v>2666.0677341769406</v>
      </c>
      <c r="H26" s="16">
        <v>0.19869763500000001</v>
      </c>
      <c r="J26" s="24">
        <f t="shared" si="3"/>
        <v>3.5337341793466277</v>
      </c>
      <c r="K26" s="24">
        <f t="shared" si="4"/>
        <v>82.132341571534283</v>
      </c>
      <c r="L26" s="24">
        <f t="shared" si="5"/>
        <v>288.7206988286398</v>
      </c>
      <c r="M26" s="27">
        <f t="shared" si="6"/>
        <v>374.3867745795207</v>
      </c>
      <c r="N26" s="33">
        <f t="shared" si="7"/>
        <v>19.655305665424837</v>
      </c>
      <c r="O26" s="29">
        <v>521000</v>
      </c>
      <c r="P26" s="31">
        <f t="shared" si="8"/>
        <v>1389.0212895061859</v>
      </c>
      <c r="Q26" s="39">
        <f t="shared" si="9"/>
        <v>1408.6765951716106</v>
      </c>
      <c r="S26" s="42">
        <f t="shared" si="10"/>
        <v>4.8616441418522669</v>
      </c>
      <c r="T26" s="30">
        <f t="shared" si="11"/>
        <v>602.26088177070915</v>
      </c>
      <c r="U26" s="44">
        <f t="shared" si="12"/>
        <v>607.1225259125614</v>
      </c>
      <c r="W26" s="44">
        <f t="shared" si="13"/>
        <v>2015.7991210841719</v>
      </c>
    </row>
    <row r="27" spans="1:23" x14ac:dyDescent="0.25">
      <c r="A27" s="1">
        <f t="shared" si="14"/>
        <v>72</v>
      </c>
      <c r="B27" s="13">
        <v>176467.0319605759</v>
      </c>
      <c r="C27" s="13">
        <f t="shared" si="0"/>
        <v>114703.57077437434</v>
      </c>
      <c r="D27" s="18">
        <f t="shared" si="1"/>
        <v>59998.790866595809</v>
      </c>
      <c r="E27" s="18">
        <f>Addendum!B18</f>
        <v>24097.106763126165</v>
      </c>
      <c r="F27" s="16">
        <f t="shared" si="2"/>
        <v>0.14201681749524789</v>
      </c>
      <c r="G27" s="18">
        <f>Addendum!C18</f>
        <v>4771.9070846578243</v>
      </c>
      <c r="H27" s="16">
        <v>0.22850003099999999</v>
      </c>
      <c r="J27" s="24">
        <f t="shared" si="3"/>
        <v>2.3613818882261435</v>
      </c>
      <c r="K27" s="24">
        <f t="shared" si="4"/>
        <v>55.396077213808653</v>
      </c>
      <c r="L27" s="24">
        <f t="shared" si="5"/>
        <v>224.95009716097243</v>
      </c>
      <c r="M27" s="27">
        <f t="shared" si="6"/>
        <v>282.70755626300723</v>
      </c>
      <c r="N27" s="33">
        <f t="shared" si="7"/>
        <v>14.842146703807879</v>
      </c>
      <c r="O27" s="29">
        <v>424000</v>
      </c>
      <c r="P27" s="31">
        <f t="shared" si="8"/>
        <v>2023.2886038949173</v>
      </c>
      <c r="Q27" s="39">
        <f t="shared" si="9"/>
        <v>2038.1307505987252</v>
      </c>
      <c r="S27" s="42">
        <f t="shared" si="10"/>
        <v>3.5999274519957485</v>
      </c>
      <c r="T27" s="30">
        <f t="shared" si="11"/>
        <v>487.36398428422666</v>
      </c>
      <c r="U27" s="44">
        <f t="shared" si="12"/>
        <v>490.96391173622243</v>
      </c>
      <c r="W27" s="44">
        <f t="shared" si="13"/>
        <v>2529.0946623349478</v>
      </c>
    </row>
    <row r="28" spans="1:23" x14ac:dyDescent="0.25">
      <c r="A28" s="1">
        <f t="shared" si="14"/>
        <v>77</v>
      </c>
      <c r="B28" s="13">
        <v>125108.12868438206</v>
      </c>
      <c r="C28" s="13">
        <f t="shared" si="0"/>
        <v>81320.283644848343</v>
      </c>
      <c r="D28" s="18">
        <f t="shared" si="1"/>
        <v>42536.763752689905</v>
      </c>
      <c r="E28" s="18">
        <f>Addendum!B19</f>
        <v>17083.893236873835</v>
      </c>
      <c r="F28" s="16">
        <f t="shared" si="2"/>
        <v>0.10068429259076145</v>
      </c>
      <c r="G28" s="18">
        <f>Addendum!C19</f>
        <v>3383.0929153421753</v>
      </c>
      <c r="H28" s="16">
        <v>0.26674398399999999</v>
      </c>
      <c r="J28" s="24">
        <f t="shared" si="3"/>
        <v>1.5911381789941395</v>
      </c>
      <c r="K28" s="24">
        <f t="shared" si="4"/>
        <v>37.326793205655804</v>
      </c>
      <c r="L28" s="24">
        <f t="shared" si="5"/>
        <v>151.57509666093736</v>
      </c>
      <c r="M28" s="27">
        <f t="shared" si="6"/>
        <v>190.49302804558732</v>
      </c>
      <c r="N28" s="33">
        <f t="shared" si="7"/>
        <v>10.000883972393334</v>
      </c>
      <c r="O28" s="29">
        <v>327000</v>
      </c>
      <c r="P28" s="31">
        <f t="shared" si="8"/>
        <v>1106.2713833168914</v>
      </c>
      <c r="Q28" s="39">
        <f t="shared" si="9"/>
        <v>1116.2722672892846</v>
      </c>
      <c r="S28" s="42">
        <f t="shared" si="10"/>
        <v>2.5522058251613942</v>
      </c>
      <c r="T28" s="30">
        <f t="shared" si="11"/>
        <v>345.52174071577332</v>
      </c>
      <c r="U28" s="44">
        <f t="shared" si="12"/>
        <v>348.07394654093468</v>
      </c>
      <c r="W28" s="44">
        <f t="shared" si="13"/>
        <v>1464.3462138302193</v>
      </c>
    </row>
    <row r="29" spans="1:23" x14ac:dyDescent="0.25">
      <c r="A29" s="1">
        <f t="shared" si="14"/>
        <v>82</v>
      </c>
      <c r="B29" s="13">
        <v>91181.06084756575</v>
      </c>
      <c r="C29" s="13">
        <f t="shared" si="0"/>
        <v>59267.689550917741</v>
      </c>
      <c r="D29" s="18">
        <f t="shared" si="1"/>
        <v>31001.560688172358</v>
      </c>
      <c r="E29" s="18">
        <f>Addendum!B20</f>
        <v>23515.462166542009</v>
      </c>
      <c r="F29" s="16">
        <f t="shared" si="2"/>
        <v>0.257109401780442</v>
      </c>
      <c r="G29" s="18">
        <f>Addendum!C20</f>
        <v>8639.1330092246317</v>
      </c>
      <c r="H29" s="16">
        <v>0.30506923400000002</v>
      </c>
      <c r="J29" s="24">
        <f t="shared" si="3"/>
        <v>0.33013844462032998</v>
      </c>
      <c r="K29" s="24">
        <f t="shared" si="4"/>
        <v>10.404283013509041</v>
      </c>
      <c r="L29" s="24">
        <f t="shared" si="5"/>
        <v>197.73357944849255</v>
      </c>
      <c r="M29" s="27">
        <f t="shared" si="6"/>
        <v>208.46800090662191</v>
      </c>
      <c r="N29" s="33">
        <f t="shared" si="7"/>
        <v>10.944570047597649</v>
      </c>
      <c r="O29" s="29">
        <v>235000</v>
      </c>
      <c r="P29" s="31">
        <f t="shared" si="8"/>
        <v>2030.1962571677884</v>
      </c>
      <c r="Q29" s="39">
        <f t="shared" si="9"/>
        <v>2041.140827215386</v>
      </c>
      <c r="S29" s="42">
        <f t="shared" si="10"/>
        <v>1.8600936412903415</v>
      </c>
      <c r="T29" s="30">
        <f t="shared" si="11"/>
        <v>475.60022231831209</v>
      </c>
      <c r="U29" s="44">
        <f t="shared" si="12"/>
        <v>477.46031595960244</v>
      </c>
      <c r="W29" s="44">
        <f t="shared" si="13"/>
        <v>2518.6011431749885</v>
      </c>
    </row>
    <row r="30" spans="1:23" x14ac:dyDescent="0.25">
      <c r="A30" s="1" t="s">
        <v>1</v>
      </c>
      <c r="B30" s="13">
        <v>85605.518033201006</v>
      </c>
      <c r="C30" s="13">
        <f t="shared" si="0"/>
        <v>55643.586721580657</v>
      </c>
      <c r="D30" s="18">
        <f t="shared" si="1"/>
        <v>29105.876131288343</v>
      </c>
      <c r="E30" s="18">
        <f>Addendum!B21</f>
        <v>22077.537833457991</v>
      </c>
      <c r="F30" s="16">
        <f t="shared" si="2"/>
        <v>0.24138766675918477</v>
      </c>
      <c r="G30" s="18">
        <f>Addendum!C21</f>
        <v>8110.8669907753674</v>
      </c>
      <c r="H30" s="16">
        <v>0.36571277699999999</v>
      </c>
      <c r="J30" s="24">
        <f t="shared" si="3"/>
        <v>0.28290305920326975</v>
      </c>
      <c r="K30" s="24">
        <f t="shared" si="4"/>
        <v>8.9156641442450937</v>
      </c>
      <c r="L30" s="24">
        <f t="shared" si="5"/>
        <v>169.44235197304423</v>
      </c>
      <c r="M30" s="27">
        <f t="shared" si="6"/>
        <v>178.64091917649259</v>
      </c>
      <c r="N30" s="33">
        <f t="shared" si="7"/>
        <v>9.3786482567658602</v>
      </c>
      <c r="O30" s="29">
        <v>161000</v>
      </c>
      <c r="P30" s="31">
        <f t="shared" si="8"/>
        <v>1305.8495855148342</v>
      </c>
      <c r="Q30" s="39">
        <f t="shared" si="9"/>
        <v>1315.2282337716001</v>
      </c>
      <c r="S30" s="42">
        <f t="shared" si="10"/>
        <v>1.7463525678773004</v>
      </c>
      <c r="T30" s="30">
        <f t="shared" si="11"/>
        <v>446.51820268168785</v>
      </c>
      <c r="U30" s="44">
        <f t="shared" si="12"/>
        <v>448.26455524956515</v>
      </c>
      <c r="W30" s="44">
        <f t="shared" si="13"/>
        <v>1763.4927890211652</v>
      </c>
    </row>
    <row r="31" spans="1:23" x14ac:dyDescent="0.25">
      <c r="M31" s="26"/>
      <c r="N31" s="26"/>
      <c r="Q31" s="2"/>
    </row>
    <row r="32" spans="1:23" x14ac:dyDescent="0.25">
      <c r="A32" s="1" t="s">
        <v>2</v>
      </c>
      <c r="B32" s="14">
        <f t="shared" ref="B32:G32" si="15">SUM(B13:B31)</f>
        <v>4969230.080450872</v>
      </c>
      <c r="C32" s="14">
        <f t="shared" si="15"/>
        <v>3229999.5522930669</v>
      </c>
      <c r="D32" s="19">
        <f t="shared" si="15"/>
        <v>1689538.2273532965</v>
      </c>
      <c r="E32" s="19">
        <f t="shared" si="15"/>
        <v>336000</v>
      </c>
      <c r="F32" s="20">
        <f t="shared" si="15"/>
        <v>1</v>
      </c>
      <c r="G32" s="19">
        <f t="shared" si="15"/>
        <v>33601</v>
      </c>
      <c r="H32" s="19"/>
      <c r="J32" s="19">
        <f t="shared" ref="J32:M32" si="16">SUM(J13:J31)</f>
        <v>108.28253403878018</v>
      </c>
      <c r="K32" s="19">
        <f t="shared" si="16"/>
        <v>2432.0497362826641</v>
      </c>
      <c r="L32" s="19">
        <f t="shared" si="16"/>
        <v>3360.9512169187574</v>
      </c>
      <c r="M32" s="28">
        <f t="shared" si="16"/>
        <v>5901.2834872402018</v>
      </c>
      <c r="N32" s="39">
        <f>SUM(N13:N31)</f>
        <v>309.81738308011069</v>
      </c>
      <c r="P32" s="32">
        <f>SUM(P13:P31)</f>
        <v>12156.319718447989</v>
      </c>
      <c r="Q32" s="40">
        <f>SUM(Q13:Q31)</f>
        <v>12466.137101528098</v>
      </c>
      <c r="S32" s="40">
        <f>SUM(S13:S31)</f>
        <v>101.3722936411978</v>
      </c>
      <c r="T32" s="40">
        <f>SUM(T13:T31)</f>
        <v>6795.6</v>
      </c>
      <c r="U32" s="40">
        <f>SUM(U13:U31)</f>
        <v>6896.9722936411963</v>
      </c>
      <c r="W32" s="40">
        <f>SUM(W13:W31)</f>
        <v>19363.1093951693</v>
      </c>
    </row>
    <row r="33" spans="1:23" x14ac:dyDescent="0.25">
      <c r="A33" s="62" t="s">
        <v>4</v>
      </c>
      <c r="C33" s="15">
        <f>C32/$B$32</f>
        <v>0.65</v>
      </c>
      <c r="D33" s="16">
        <f>D32/$B$32</f>
        <v>0.34</v>
      </c>
      <c r="E33" s="16">
        <f>E32/$B$32</f>
        <v>6.7616108443405737E-2</v>
      </c>
      <c r="G33" s="22">
        <f>G32/$B$32</f>
        <v>6.7618120827585603E-3</v>
      </c>
      <c r="H33" s="22"/>
      <c r="Q33" s="2"/>
      <c r="S33" s="2"/>
      <c r="T33" s="2"/>
      <c r="U33" s="2"/>
      <c r="W33" s="2"/>
    </row>
    <row r="34" spans="1:23" x14ac:dyDescent="0.25">
      <c r="A34" s="62" t="s">
        <v>7</v>
      </c>
      <c r="C34" s="15">
        <f>C32/$C$32</f>
        <v>1</v>
      </c>
      <c r="D34" s="15">
        <f>D32/$C$32</f>
        <v>0.52307692307692311</v>
      </c>
      <c r="E34" s="15">
        <f>E32/$C$32</f>
        <v>0.10402478222062421</v>
      </c>
      <c r="G34" s="23">
        <f>G32/$C$32</f>
        <v>1.0402787819628554E-2</v>
      </c>
      <c r="H34" s="23"/>
      <c r="M34" t="s">
        <v>34</v>
      </c>
      <c r="N34" s="23">
        <f>N32/$M$35</f>
        <v>9.6877269540127922E-4</v>
      </c>
      <c r="P34" s="23">
        <f>P32/$M$35</f>
        <v>3.8011781336218395E-2</v>
      </c>
      <c r="Q34" s="41">
        <f>Q32/$M$35</f>
        <v>3.8980554031619673E-2</v>
      </c>
      <c r="S34" s="43">
        <f>S32/$M$35</f>
        <v>3.1698256945253281E-4</v>
      </c>
      <c r="T34" s="41">
        <f>T32/$M$35</f>
        <v>2.1249265174919641E-2</v>
      </c>
      <c r="U34" s="41">
        <f>U32/$M$35</f>
        <v>2.1566247744372165E-2</v>
      </c>
      <c r="W34" s="41">
        <f>W32/$M$35</f>
        <v>6.0546801775991858E-2</v>
      </c>
    </row>
    <row r="35" spans="1:23" x14ac:dyDescent="0.25">
      <c r="A35" s="62" t="s">
        <v>15</v>
      </c>
      <c r="D35" s="16">
        <f>D32/$D$32</f>
        <v>1</v>
      </c>
      <c r="E35" s="16">
        <f>E32/$D$32</f>
        <v>0.19887090718648748</v>
      </c>
      <c r="G35" s="22">
        <f>G32/$D$32</f>
        <v>1.9887682596348707E-2</v>
      </c>
      <c r="H35" s="22"/>
      <c r="L35" s="4" t="s">
        <v>58</v>
      </c>
      <c r="M35" s="14">
        <v>319804</v>
      </c>
    </row>
    <row r="36" spans="1:23" x14ac:dyDescent="0.25">
      <c r="A36" s="62" t="s">
        <v>16</v>
      </c>
      <c r="E36" s="15">
        <f>E32/$E$32</f>
        <v>1</v>
      </c>
      <c r="G36" s="15">
        <f>G32/$E$32</f>
        <v>0.10000297619047618</v>
      </c>
      <c r="H36" s="15"/>
      <c r="L36" t="s">
        <v>59</v>
      </c>
    </row>
  </sheetData>
  <mergeCells count="4">
    <mergeCell ref="C9:G9"/>
    <mergeCell ref="O9:P9"/>
    <mergeCell ref="J9:M9"/>
    <mergeCell ref="B1:F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AD94-81D5-4A88-9C97-07FA17936BC7}">
  <dimension ref="A1:W36"/>
  <sheetViews>
    <sheetView topLeftCell="A4" workbookViewId="0">
      <selection activeCell="G4" sqref="G4:L6"/>
    </sheetView>
  </sheetViews>
  <sheetFormatPr defaultRowHeight="15" x14ac:dyDescent="0.25"/>
  <cols>
    <col min="1" max="1" width="9.140625" style="1"/>
    <col min="3" max="3" width="14.140625" customWidth="1"/>
    <col min="4" max="4" width="11.7109375" style="17" customWidth="1"/>
    <col min="5" max="5" width="12.85546875" customWidth="1"/>
    <col min="6" max="6" width="11.7109375" customWidth="1"/>
    <col min="7" max="8" width="11.140625" customWidth="1"/>
    <col min="10" max="10" width="13.42578125" customWidth="1"/>
    <col min="11" max="11" width="12.140625" customWidth="1"/>
    <col min="12" max="12" width="12.85546875" customWidth="1"/>
    <col min="13" max="14" width="11.85546875" customWidth="1"/>
    <col min="15" max="15" width="13" customWidth="1"/>
    <col min="16" max="16" width="15.140625" style="1" customWidth="1"/>
    <col min="17" max="17" width="12.28515625" customWidth="1"/>
    <col min="19" max="19" width="12.7109375" bestFit="1" customWidth="1"/>
  </cols>
  <sheetData>
    <row r="1" spans="1:23" x14ac:dyDescent="0.25">
      <c r="B1" s="71" t="s">
        <v>47</v>
      </c>
      <c r="C1" s="72"/>
      <c r="D1" s="72"/>
      <c r="E1" s="72"/>
      <c r="F1" s="73"/>
      <c r="H1" s="2" t="s">
        <v>60</v>
      </c>
    </row>
    <row r="2" spans="1:23" x14ac:dyDescent="0.25">
      <c r="B2" s="8"/>
      <c r="C2" s="9"/>
      <c r="D2" s="47"/>
      <c r="E2" s="56" t="s">
        <v>49</v>
      </c>
      <c r="F2" s="57" t="s">
        <v>50</v>
      </c>
      <c r="J2" s="12" t="s">
        <v>53</v>
      </c>
      <c r="K2" s="61" t="s">
        <v>54</v>
      </c>
    </row>
    <row r="3" spans="1:23" x14ac:dyDescent="0.25">
      <c r="B3" s="8"/>
      <c r="C3" s="9"/>
      <c r="D3" s="48" t="s">
        <v>48</v>
      </c>
      <c r="E3" s="49">
        <f>U32</f>
        <v>6896.9722936411963</v>
      </c>
      <c r="F3" s="50">
        <f>U34</f>
        <v>2.1566247744372165E-2</v>
      </c>
      <c r="H3" t="s">
        <v>55</v>
      </c>
    </row>
    <row r="4" spans="1:23" x14ac:dyDescent="0.25">
      <c r="B4" s="8"/>
      <c r="C4" s="9"/>
      <c r="D4" s="51" t="s">
        <v>51</v>
      </c>
      <c r="E4" s="49">
        <f>N32</f>
        <v>309.81738308011069</v>
      </c>
      <c r="F4" s="50">
        <f>N34</f>
        <v>9.6877269540127922E-4</v>
      </c>
    </row>
    <row r="5" spans="1:23" x14ac:dyDescent="0.25">
      <c r="B5" s="8"/>
      <c r="C5" s="9"/>
      <c r="D5" s="51" t="s">
        <v>52</v>
      </c>
      <c r="E5" s="54">
        <f>P32</f>
        <v>4558.619894417996</v>
      </c>
      <c r="F5" s="55">
        <f>P34</f>
        <v>1.42544180010819E-2</v>
      </c>
    </row>
    <row r="6" spans="1:23" x14ac:dyDescent="0.25">
      <c r="B6" s="52"/>
      <c r="C6" s="53"/>
      <c r="D6" s="58" t="s">
        <v>2</v>
      </c>
      <c r="E6" s="59">
        <f>SUM(E3:E5)</f>
        <v>11765.409571139302</v>
      </c>
      <c r="F6" s="60">
        <f>SUM(F3:F5)</f>
        <v>3.6789438440855346E-2</v>
      </c>
    </row>
    <row r="9" spans="1:23" x14ac:dyDescent="0.25">
      <c r="C9" s="69" t="s">
        <v>17</v>
      </c>
      <c r="D9" s="69"/>
      <c r="E9" s="69"/>
      <c r="F9" s="69"/>
      <c r="G9" s="69"/>
      <c r="H9" s="64"/>
      <c r="J9" s="69" t="s">
        <v>18</v>
      </c>
      <c r="K9" s="69"/>
      <c r="L9" s="69"/>
      <c r="M9" s="69"/>
      <c r="O9" s="70" t="s">
        <v>32</v>
      </c>
      <c r="P9" s="70"/>
      <c r="S9" t="s">
        <v>38</v>
      </c>
    </row>
    <row r="10" spans="1:23" ht="90" x14ac:dyDescent="0.25">
      <c r="C10" s="7" t="s">
        <v>5</v>
      </c>
      <c r="D10" s="6" t="s">
        <v>6</v>
      </c>
      <c r="E10" s="63" t="s">
        <v>66</v>
      </c>
      <c r="F10" s="63" t="s">
        <v>11</v>
      </c>
      <c r="G10" s="63" t="s">
        <v>13</v>
      </c>
      <c r="H10" s="63" t="s">
        <v>26</v>
      </c>
      <c r="J10" s="63" t="s">
        <v>19</v>
      </c>
      <c r="K10" s="63" t="s">
        <v>20</v>
      </c>
      <c r="L10" s="63" t="s">
        <v>21</v>
      </c>
      <c r="M10" s="25" t="s">
        <v>25</v>
      </c>
      <c r="N10" s="25" t="s">
        <v>28</v>
      </c>
      <c r="O10" s="63" t="s">
        <v>29</v>
      </c>
      <c r="P10" s="63" t="s">
        <v>45</v>
      </c>
      <c r="Q10" s="45" t="s">
        <v>46</v>
      </c>
      <c r="S10" t="s">
        <v>39</v>
      </c>
      <c r="T10" s="6" t="s">
        <v>41</v>
      </c>
    </row>
    <row r="11" spans="1:23" x14ac:dyDescent="0.25">
      <c r="A11" s="46" t="s">
        <v>36</v>
      </c>
      <c r="B11" s="34"/>
      <c r="C11" s="35">
        <v>0.65</v>
      </c>
      <c r="D11" s="36">
        <f>0.34</f>
        <v>0.34</v>
      </c>
      <c r="E11" s="15">
        <f>E32/B32</f>
        <v>6.7616108443405737E-2</v>
      </c>
      <c r="G11" s="23">
        <f>G32/B32</f>
        <v>2.5356795310344602E-3</v>
      </c>
      <c r="H11" s="21"/>
      <c r="J11" s="37">
        <v>1E-4</v>
      </c>
      <c r="K11" s="37">
        <v>2E-3</v>
      </c>
      <c r="L11" s="37">
        <v>1.21E-2</v>
      </c>
      <c r="M11" s="26"/>
      <c r="N11" s="38">
        <v>52500</v>
      </c>
      <c r="S11" s="38">
        <v>60</v>
      </c>
      <c r="T11" s="38">
        <v>20225</v>
      </c>
    </row>
    <row r="12" spans="1:23" ht="75" x14ac:dyDescent="0.25">
      <c r="A12" s="63" t="s">
        <v>0</v>
      </c>
      <c r="B12" s="63" t="s">
        <v>3</v>
      </c>
      <c r="C12" s="63" t="s">
        <v>9</v>
      </c>
      <c r="D12" s="63" t="s">
        <v>8</v>
      </c>
      <c r="E12" s="63" t="s">
        <v>10</v>
      </c>
      <c r="F12" s="63" t="s">
        <v>14</v>
      </c>
      <c r="G12" s="63" t="s">
        <v>12</v>
      </c>
      <c r="H12" s="63" t="s">
        <v>27</v>
      </c>
      <c r="J12" s="63" t="s">
        <v>22</v>
      </c>
      <c r="K12" s="63" t="s">
        <v>24</v>
      </c>
      <c r="L12" s="63" t="s">
        <v>23</v>
      </c>
      <c r="M12" s="25" t="s">
        <v>35</v>
      </c>
      <c r="N12" s="25" t="s">
        <v>33</v>
      </c>
      <c r="O12" s="63" t="s">
        <v>30</v>
      </c>
      <c r="P12" s="63" t="s">
        <v>31</v>
      </c>
      <c r="Q12" s="5" t="s">
        <v>37</v>
      </c>
      <c r="S12" t="s">
        <v>40</v>
      </c>
      <c r="T12" s="63" t="s">
        <v>42</v>
      </c>
      <c r="U12" s="10" t="s">
        <v>43</v>
      </c>
      <c r="W12" s="10" t="s">
        <v>44</v>
      </c>
    </row>
    <row r="13" spans="1:23" x14ac:dyDescent="0.25">
      <c r="A13" s="1">
        <v>2</v>
      </c>
      <c r="B13" s="13">
        <v>340273.39456600341</v>
      </c>
      <c r="C13" s="13">
        <f>B13*$C$11</f>
        <v>221177.70646790223</v>
      </c>
      <c r="D13" s="18">
        <f>B13*$D$11</f>
        <v>115692.95415244116</v>
      </c>
      <c r="E13" s="18">
        <f>Addendum!B4</f>
        <v>1571.9812765127504</v>
      </c>
      <c r="F13" s="16">
        <f>G13/$G$32</f>
        <v>0</v>
      </c>
      <c r="G13" s="18">
        <f>Addendum!D4</f>
        <v>0</v>
      </c>
      <c r="H13" s="16">
        <v>2.6534839000000001E-2</v>
      </c>
      <c r="J13" s="24">
        <f>J$11*(C13-D13-E13)*(1-H13)</f>
        <v>10.115546238938595</v>
      </c>
      <c r="K13" s="24">
        <f>K$11*D13*(1-H13)</f>
        <v>225.24612048114352</v>
      </c>
      <c r="L13" s="24">
        <f>L$11*E13*(1-H13)</f>
        <v>18.516254977796589</v>
      </c>
      <c r="M13" s="27">
        <f>SUM(J13:L13)</f>
        <v>253.87792169787872</v>
      </c>
      <c r="N13" s="33">
        <f>M13*$N$11*10^-6</f>
        <v>13.328590889138633</v>
      </c>
      <c r="O13" s="29">
        <v>1288000</v>
      </c>
      <c r="P13" s="31">
        <f>O13*G13*10^-6</f>
        <v>0</v>
      </c>
      <c r="Q13" s="39">
        <f>N13+P13</f>
        <v>13.328590889138633</v>
      </c>
      <c r="S13" s="42">
        <f>D13*$S$11*10^-6</f>
        <v>6.9415772491464693</v>
      </c>
      <c r="T13" s="30">
        <f>$T$11*E13*10^-6</f>
        <v>31.793321317470372</v>
      </c>
      <c r="U13" s="44">
        <f>SUM(S13:T13)</f>
        <v>38.734898566616842</v>
      </c>
      <c r="W13" s="44">
        <f>Q13+U13</f>
        <v>52.063489455755473</v>
      </c>
    </row>
    <row r="14" spans="1:23" x14ac:dyDescent="0.25">
      <c r="A14" s="1">
        <f>A13+5</f>
        <v>7</v>
      </c>
      <c r="B14" s="13">
        <v>337683.96262652567</v>
      </c>
      <c r="C14" s="13">
        <f t="shared" ref="C14:C30" si="0">B14*$C$11</f>
        <v>219494.57570724169</v>
      </c>
      <c r="D14" s="18">
        <f t="shared" ref="D14:D30" si="1">B14*$D$11</f>
        <v>114812.54729301874</v>
      </c>
      <c r="E14" s="18">
        <f>Addendum!B5</f>
        <v>1560.0187234872492</v>
      </c>
      <c r="F14" s="16">
        <f t="shared" ref="F14:F30" si="2">G14/$G$32</f>
        <v>0</v>
      </c>
      <c r="G14" s="18">
        <f>Addendum!D5</f>
        <v>0</v>
      </c>
      <c r="H14" s="16">
        <v>3.1187456999999998E-2</v>
      </c>
      <c r="J14" s="24">
        <f t="shared" ref="J14:J30" si="3">J$11*(C14-D14-E14)*(1-H14)</f>
        <v>9.9905896447752305</v>
      </c>
      <c r="K14" s="24">
        <f t="shared" ref="K14:K30" si="4">K$11*(D14-E14-F14)*(1-H14)</f>
        <v>219.44094040925592</v>
      </c>
      <c r="L14" s="24">
        <f t="shared" ref="L14:L30" si="5">L$11*E14*(1-H14)</f>
        <v>18.287525050214477</v>
      </c>
      <c r="M14" s="27">
        <f t="shared" ref="M14:M30" si="6">SUM(J14:L14)</f>
        <v>247.71905510424563</v>
      </c>
      <c r="N14" s="33">
        <f t="shared" ref="N14:N30" si="7">M14*$N$11*10^-6</f>
        <v>13.005250392972895</v>
      </c>
      <c r="O14" s="29">
        <v>1274000</v>
      </c>
      <c r="P14" s="31">
        <f t="shared" ref="P14:P30" si="8">O14*G14*10^-6</f>
        <v>0</v>
      </c>
      <c r="Q14" s="39">
        <f t="shared" ref="Q14:Q30" si="9">N14+P14</f>
        <v>13.005250392972895</v>
      </c>
      <c r="S14" s="42">
        <f t="shared" ref="S14:S30" si="10">D14*$S$11*10^-6</f>
        <v>6.8887528375811238</v>
      </c>
      <c r="T14" s="30">
        <f t="shared" ref="T14:T30" si="11">$T$11*E14*10^-6</f>
        <v>31.551378682529613</v>
      </c>
      <c r="U14" s="44">
        <f t="shared" ref="U14:U30" si="12">SUM(S14:T14)</f>
        <v>38.440131520110739</v>
      </c>
      <c r="W14" s="44">
        <f t="shared" ref="W14:W30" si="13">Q14+U14</f>
        <v>51.445381913083637</v>
      </c>
    </row>
    <row r="15" spans="1:23" x14ac:dyDescent="0.25">
      <c r="A15" s="1">
        <f t="shared" ref="A15:A29" si="14">A14+5</f>
        <v>12</v>
      </c>
      <c r="B15" s="13">
        <v>325970.91517263296</v>
      </c>
      <c r="C15" s="13">
        <f t="shared" si="0"/>
        <v>211881.09486221144</v>
      </c>
      <c r="D15" s="18">
        <f t="shared" si="1"/>
        <v>110830.11115869522</v>
      </c>
      <c r="E15" s="18">
        <f>Addendum!B6</f>
        <v>2025.7274905236211</v>
      </c>
      <c r="F15" s="16">
        <f t="shared" si="2"/>
        <v>2.7449474551093621E-4</v>
      </c>
      <c r="G15" s="18">
        <f>Addendum!D6</f>
        <v>3.4587367289673625</v>
      </c>
      <c r="H15" s="16">
        <v>3.2965875999999998E-2</v>
      </c>
      <c r="J15" s="24">
        <f t="shared" si="3"/>
        <v>9.5760801895806846</v>
      </c>
      <c r="K15" s="24">
        <f t="shared" si="4"/>
        <v>210.4351031649289</v>
      </c>
      <c r="L15" s="24">
        <f t="shared" si="5"/>
        <v>23.70326607206086</v>
      </c>
      <c r="M15" s="27">
        <f t="shared" si="6"/>
        <v>243.71444942657047</v>
      </c>
      <c r="N15" s="33">
        <f t="shared" si="7"/>
        <v>12.795008594894949</v>
      </c>
      <c r="O15" s="29">
        <v>1237000</v>
      </c>
      <c r="P15" s="31">
        <f t="shared" si="8"/>
        <v>4.2784573337326268</v>
      </c>
      <c r="Q15" s="39">
        <f t="shared" si="9"/>
        <v>17.073465928627577</v>
      </c>
      <c r="S15" s="42">
        <f t="shared" si="10"/>
        <v>6.6498066695217126</v>
      </c>
      <c r="T15" s="30">
        <f t="shared" si="11"/>
        <v>40.970338495840238</v>
      </c>
      <c r="U15" s="44">
        <f t="shared" si="12"/>
        <v>47.620145165361947</v>
      </c>
      <c r="W15" s="44">
        <f t="shared" si="13"/>
        <v>64.693611093989517</v>
      </c>
    </row>
    <row r="16" spans="1:23" x14ac:dyDescent="0.25">
      <c r="A16" s="1">
        <f t="shared" si="14"/>
        <v>17</v>
      </c>
      <c r="B16" s="13">
        <v>345529.39046017727</v>
      </c>
      <c r="C16" s="13">
        <f t="shared" si="0"/>
        <v>224594.10379911523</v>
      </c>
      <c r="D16" s="18">
        <f t="shared" si="1"/>
        <v>117479.99275646028</v>
      </c>
      <c r="E16" s="18">
        <f>Addendum!B7</f>
        <v>2147.2725094763791</v>
      </c>
      <c r="F16" s="16">
        <f t="shared" si="2"/>
        <v>2.9096461581759576E-4</v>
      </c>
      <c r="G16" s="18">
        <f>Addendum!D7</f>
        <v>3.6662632710326384</v>
      </c>
      <c r="H16" s="16">
        <v>7.5852795000000001E-2</v>
      </c>
      <c r="J16" s="24">
        <f t="shared" si="3"/>
        <v>9.700481044812328</v>
      </c>
      <c r="K16" s="24">
        <f t="shared" si="4"/>
        <v>213.16882158480593</v>
      </c>
      <c r="L16" s="24">
        <f t="shared" si="5"/>
        <v>24.011190244871777</v>
      </c>
      <c r="M16" s="27">
        <f t="shared" si="6"/>
        <v>246.88049287449005</v>
      </c>
      <c r="N16" s="33">
        <f t="shared" si="7"/>
        <v>12.961225875910726</v>
      </c>
      <c r="O16" s="29">
        <v>1172000</v>
      </c>
      <c r="P16" s="31">
        <f t="shared" si="8"/>
        <v>4.2968605536502524</v>
      </c>
      <c r="Q16" s="39">
        <f t="shared" si="9"/>
        <v>17.258086429560979</v>
      </c>
      <c r="S16" s="42">
        <f t="shared" si="10"/>
        <v>7.0487995653876165</v>
      </c>
      <c r="T16" s="30">
        <f t="shared" si="11"/>
        <v>43.428586504159767</v>
      </c>
      <c r="U16" s="44">
        <f t="shared" si="12"/>
        <v>50.477386069547386</v>
      </c>
      <c r="W16" s="44">
        <f t="shared" si="13"/>
        <v>67.735472499108369</v>
      </c>
    </row>
    <row r="17" spans="1:23" x14ac:dyDescent="0.25">
      <c r="A17" s="1">
        <f t="shared" si="14"/>
        <v>22</v>
      </c>
      <c r="B17" s="13">
        <v>358829.15365570737</v>
      </c>
      <c r="C17" s="13">
        <f t="shared" si="0"/>
        <v>233238.94987620981</v>
      </c>
      <c r="D17" s="18">
        <f t="shared" si="1"/>
        <v>122001.91224294051</v>
      </c>
      <c r="E17" s="18">
        <f>Addendum!B8</f>
        <v>11187.389285135352</v>
      </c>
      <c r="F17" s="16">
        <f t="shared" si="2"/>
        <v>1.6024492397212645E-3</v>
      </c>
      <c r="G17" s="18">
        <f>Addendum!D8</f>
        <v>20.191461338952827</v>
      </c>
      <c r="H17" s="16">
        <v>8.8314894000000005E-2</v>
      </c>
      <c r="J17" s="24">
        <f t="shared" si="3"/>
        <v>9.1213774259531242</v>
      </c>
      <c r="K17" s="24">
        <f t="shared" si="4"/>
        <v>202.05589729639388</v>
      </c>
      <c r="L17" s="24">
        <f t="shared" si="5"/>
        <v>123.41245185401084</v>
      </c>
      <c r="M17" s="27">
        <f t="shared" si="6"/>
        <v>334.58972657635786</v>
      </c>
      <c r="N17" s="33">
        <f t="shared" si="7"/>
        <v>17.565960645258787</v>
      </c>
      <c r="O17" s="29">
        <v>1133000</v>
      </c>
      <c r="P17" s="31">
        <f t="shared" si="8"/>
        <v>22.876925697033553</v>
      </c>
      <c r="Q17" s="39">
        <f t="shared" si="9"/>
        <v>40.44288634229234</v>
      </c>
      <c r="S17" s="42">
        <f t="shared" si="10"/>
        <v>7.3201147345764301</v>
      </c>
      <c r="T17" s="30">
        <f t="shared" si="11"/>
        <v>226.26494829186248</v>
      </c>
      <c r="U17" s="44">
        <f t="shared" si="12"/>
        <v>233.58506302643892</v>
      </c>
      <c r="W17" s="44">
        <f t="shared" si="13"/>
        <v>274.02794936873124</v>
      </c>
    </row>
    <row r="18" spans="1:23" x14ac:dyDescent="0.25">
      <c r="A18" s="1">
        <f t="shared" si="14"/>
        <v>27</v>
      </c>
      <c r="B18" s="13">
        <v>320924.27760548069</v>
      </c>
      <c r="C18" s="13">
        <f t="shared" si="0"/>
        <v>208600.78044356246</v>
      </c>
      <c r="D18" s="18">
        <f t="shared" si="1"/>
        <v>109114.25438586345</v>
      </c>
      <c r="E18" s="18">
        <f>Addendum!B9</f>
        <v>10005.610714864646</v>
      </c>
      <c r="F18" s="16">
        <f t="shared" si="2"/>
        <v>1.4331747000424328E-3</v>
      </c>
      <c r="G18" s="18">
        <f>Addendum!D9</f>
        <v>18.058538661047169</v>
      </c>
      <c r="H18" s="16">
        <v>9.9846751999999997E-2</v>
      </c>
      <c r="J18" s="24">
        <f t="shared" si="3"/>
        <v>8.0546536579865382</v>
      </c>
      <c r="K18" s="24">
        <f t="shared" si="4"/>
        <v>178.42593243049473</v>
      </c>
      <c r="L18" s="24">
        <f t="shared" si="5"/>
        <v>108.97965409682905</v>
      </c>
      <c r="M18" s="27">
        <f t="shared" si="6"/>
        <v>295.46024018531034</v>
      </c>
      <c r="N18" s="33">
        <f t="shared" si="7"/>
        <v>15.511662609728791</v>
      </c>
      <c r="O18" s="29">
        <v>1093000</v>
      </c>
      <c r="P18" s="31">
        <f t="shared" si="8"/>
        <v>19.737982756524556</v>
      </c>
      <c r="Q18" s="39">
        <f t="shared" si="9"/>
        <v>35.249645366253347</v>
      </c>
      <c r="S18" s="42">
        <f t="shared" si="10"/>
        <v>6.5468552631518069</v>
      </c>
      <c r="T18" s="30">
        <f t="shared" si="11"/>
        <v>202.36347670813745</v>
      </c>
      <c r="U18" s="44">
        <f t="shared" si="12"/>
        <v>208.91033197128925</v>
      </c>
      <c r="W18" s="44">
        <f t="shared" si="13"/>
        <v>244.15997733754261</v>
      </c>
    </row>
    <row r="19" spans="1:23" x14ac:dyDescent="0.25">
      <c r="A19" s="1">
        <f t="shared" si="14"/>
        <v>32</v>
      </c>
      <c r="B19" s="13">
        <v>305916.59121582692</v>
      </c>
      <c r="C19" s="13">
        <f t="shared" si="0"/>
        <v>198845.7842902875</v>
      </c>
      <c r="D19" s="18">
        <f t="shared" si="1"/>
        <v>104011.64101338116</v>
      </c>
      <c r="E19" s="18">
        <f>Addendum!B10</f>
        <v>24103.618287478432</v>
      </c>
      <c r="F19" s="16">
        <f t="shared" si="2"/>
        <v>4.2314348173164316E-3</v>
      </c>
      <c r="G19" s="18">
        <f>Addendum!D10</f>
        <v>53.317665486243527</v>
      </c>
      <c r="H19" s="16">
        <v>0.101813984</v>
      </c>
      <c r="J19" s="24">
        <f t="shared" si="3"/>
        <v>6.3529168449842706</v>
      </c>
      <c r="K19" s="24">
        <f t="shared" si="4"/>
        <v>143.54452955600092</v>
      </c>
      <c r="L19" s="24">
        <f t="shared" si="5"/>
        <v>261.95934785786147</v>
      </c>
      <c r="M19" s="27">
        <f t="shared" si="6"/>
        <v>411.85679425884666</v>
      </c>
      <c r="N19" s="33">
        <f t="shared" si="7"/>
        <v>21.62248169858945</v>
      </c>
      <c r="O19" s="29">
        <v>1050000</v>
      </c>
      <c r="P19" s="31">
        <f t="shared" si="8"/>
        <v>55.983548760555706</v>
      </c>
      <c r="Q19" s="39">
        <f t="shared" si="9"/>
        <v>77.60603045914516</v>
      </c>
      <c r="S19" s="42">
        <f t="shared" si="10"/>
        <v>6.2406984608028697</v>
      </c>
      <c r="T19" s="30">
        <f t="shared" si="11"/>
        <v>487.49567986425126</v>
      </c>
      <c r="U19" s="44">
        <f t="shared" si="12"/>
        <v>493.73637832505415</v>
      </c>
      <c r="W19" s="44">
        <f t="shared" si="13"/>
        <v>571.34240878419928</v>
      </c>
    </row>
    <row r="20" spans="1:23" x14ac:dyDescent="0.25">
      <c r="A20" s="1">
        <f t="shared" si="14"/>
        <v>37</v>
      </c>
      <c r="B20" s="13">
        <v>300836.89707072388</v>
      </c>
      <c r="C20" s="13">
        <f t="shared" si="0"/>
        <v>195543.98309597053</v>
      </c>
      <c r="D20" s="18">
        <f t="shared" si="1"/>
        <v>102284.54500404613</v>
      </c>
      <c r="E20" s="18">
        <f>Addendum!B11</f>
        <v>23703.381712521561</v>
      </c>
      <c r="F20" s="16">
        <f t="shared" si="2"/>
        <v>4.1611725455596733E-3</v>
      </c>
      <c r="G20" s="18">
        <f>Addendum!D11</f>
        <v>52.432334513756466</v>
      </c>
      <c r="H20" s="16">
        <v>0.11076796699999999</v>
      </c>
      <c r="J20" s="24">
        <f t="shared" si="3"/>
        <v>6.1851473421719012</v>
      </c>
      <c r="K20" s="24">
        <f t="shared" si="4"/>
        <v>139.75376777795887</v>
      </c>
      <c r="L20" s="24">
        <f t="shared" si="5"/>
        <v>255.04145634132686</v>
      </c>
      <c r="M20" s="27">
        <f t="shared" si="6"/>
        <v>400.98037146145759</v>
      </c>
      <c r="N20" s="33">
        <f t="shared" si="7"/>
        <v>21.051469501726523</v>
      </c>
      <c r="O20" s="29">
        <v>994000</v>
      </c>
      <c r="P20" s="31">
        <f t="shared" si="8"/>
        <v>52.117740506673925</v>
      </c>
      <c r="Q20" s="39">
        <f t="shared" si="9"/>
        <v>73.169210008400455</v>
      </c>
      <c r="S20" s="42">
        <f t="shared" si="10"/>
        <v>6.1370727002427676</v>
      </c>
      <c r="T20" s="30">
        <f t="shared" si="11"/>
        <v>479.40089513574856</v>
      </c>
      <c r="U20" s="44">
        <f t="shared" si="12"/>
        <v>485.53796783599131</v>
      </c>
      <c r="W20" s="44">
        <f t="shared" si="13"/>
        <v>558.70717784439171</v>
      </c>
    </row>
    <row r="21" spans="1:23" x14ac:dyDescent="0.25">
      <c r="A21" s="1">
        <f t="shared" si="14"/>
        <v>42</v>
      </c>
      <c r="B21" s="13">
        <v>345595.50361607881</v>
      </c>
      <c r="C21" s="13">
        <f t="shared" si="0"/>
        <v>224637.07735045123</v>
      </c>
      <c r="D21" s="18">
        <f t="shared" si="1"/>
        <v>117502.4712294668</v>
      </c>
      <c r="E21" s="18">
        <f>Addendum!B12</f>
        <v>21926.644520186263</v>
      </c>
      <c r="F21" s="16">
        <f t="shared" si="2"/>
        <v>7.1993768489416439E-3</v>
      </c>
      <c r="G21" s="18">
        <f>Addendum!D12</f>
        <v>90.714848062983066</v>
      </c>
      <c r="H21" s="16">
        <v>0.113425919</v>
      </c>
      <c r="J21" s="24">
        <f t="shared" si="3"/>
        <v>7.5543170250110929</v>
      </c>
      <c r="K21" s="24">
        <f t="shared" si="4"/>
        <v>169.47008869562944</v>
      </c>
      <c r="L21" s="24">
        <f t="shared" si="5"/>
        <v>235.21909605026363</v>
      </c>
      <c r="M21" s="27">
        <f t="shared" si="6"/>
        <v>412.24350177090417</v>
      </c>
      <c r="N21" s="33">
        <f t="shared" si="7"/>
        <v>21.642783842972467</v>
      </c>
      <c r="O21" s="29">
        <v>936000</v>
      </c>
      <c r="P21" s="31">
        <f t="shared" si="8"/>
        <v>84.909097786952145</v>
      </c>
      <c r="Q21" s="39">
        <f t="shared" si="9"/>
        <v>106.55188162992461</v>
      </c>
      <c r="S21" s="42">
        <f t="shared" si="10"/>
        <v>7.0501482737680075</v>
      </c>
      <c r="T21" s="30">
        <f t="shared" si="11"/>
        <v>443.46638542076715</v>
      </c>
      <c r="U21" s="44">
        <f t="shared" si="12"/>
        <v>450.51653369453516</v>
      </c>
      <c r="W21" s="44">
        <f t="shared" si="13"/>
        <v>557.06841532445981</v>
      </c>
    </row>
    <row r="22" spans="1:23" x14ac:dyDescent="0.25">
      <c r="A22" s="1">
        <f t="shared" si="14"/>
        <v>47</v>
      </c>
      <c r="B22" s="13">
        <v>343006.07167660113</v>
      </c>
      <c r="C22" s="13">
        <f t="shared" si="0"/>
        <v>222953.94658979075</v>
      </c>
      <c r="D22" s="18">
        <f t="shared" si="1"/>
        <v>116622.06437004439</v>
      </c>
      <c r="E22" s="18">
        <f>Addendum!B13</f>
        <v>21762.355479813741</v>
      </c>
      <c r="F22" s="16">
        <f t="shared" si="2"/>
        <v>7.1454343173926928E-3</v>
      </c>
      <c r="G22" s="18">
        <f>Addendum!D13</f>
        <v>90.035151937016948</v>
      </c>
      <c r="H22" s="16">
        <v>0.12637388799999999</v>
      </c>
      <c r="J22" s="24">
        <f t="shared" si="3"/>
        <v>7.3882146839487373</v>
      </c>
      <c r="K22" s="24">
        <f t="shared" si="4"/>
        <v>165.74382484157206</v>
      </c>
      <c r="L22" s="24">
        <f t="shared" si="5"/>
        <v>230.04716027007802</v>
      </c>
      <c r="M22" s="27">
        <f t="shared" si="6"/>
        <v>403.17919979559883</v>
      </c>
      <c r="N22" s="33">
        <f t="shared" si="7"/>
        <v>21.166907989268939</v>
      </c>
      <c r="O22" s="29">
        <v>865000</v>
      </c>
      <c r="P22" s="31">
        <f t="shared" si="8"/>
        <v>77.880406425519652</v>
      </c>
      <c r="Q22" s="39">
        <f t="shared" si="9"/>
        <v>99.047314414788588</v>
      </c>
      <c r="S22" s="42">
        <f t="shared" si="10"/>
        <v>6.9973238622026628</v>
      </c>
      <c r="T22" s="30">
        <f t="shared" si="11"/>
        <v>440.14363957923291</v>
      </c>
      <c r="U22" s="44">
        <f t="shared" si="12"/>
        <v>447.14096344143559</v>
      </c>
      <c r="W22" s="44">
        <f t="shared" si="13"/>
        <v>546.1882778562242</v>
      </c>
    </row>
    <row r="23" spans="1:23" x14ac:dyDescent="0.25">
      <c r="A23" s="1">
        <f t="shared" si="14"/>
        <v>52</v>
      </c>
      <c r="B23" s="13">
        <v>349749.61357856006</v>
      </c>
      <c r="C23" s="13">
        <f t="shared" si="0"/>
        <v>227337.24882606405</v>
      </c>
      <c r="D23" s="18">
        <f t="shared" si="1"/>
        <v>118914.86861671043</v>
      </c>
      <c r="E23" s="18">
        <f>Addendum!B14</f>
        <v>34928.658849149841</v>
      </c>
      <c r="F23" s="16">
        <f t="shared" si="2"/>
        <v>3.3579623734320684E-2</v>
      </c>
      <c r="G23" s="18">
        <f>Addendum!D14</f>
        <v>423.11585141134094</v>
      </c>
      <c r="H23" s="16">
        <v>0.12549874</v>
      </c>
      <c r="J23" s="24">
        <f t="shared" si="3"/>
        <v>6.4270351931587122</v>
      </c>
      <c r="K23" s="24">
        <f t="shared" si="4"/>
        <v>146.89203379786557</v>
      </c>
      <c r="L23" s="24">
        <f t="shared" si="5"/>
        <v>369.59638970166935</v>
      </c>
      <c r="M23" s="27">
        <f t="shared" si="6"/>
        <v>522.91545869269362</v>
      </c>
      <c r="N23" s="33">
        <f t="shared" si="7"/>
        <v>27.453061581366416</v>
      </c>
      <c r="O23" s="29">
        <v>789000</v>
      </c>
      <c r="P23" s="31">
        <f t="shared" si="8"/>
        <v>333.83840676354799</v>
      </c>
      <c r="Q23" s="39">
        <f t="shared" si="9"/>
        <v>361.29146834491439</v>
      </c>
      <c r="S23" s="42">
        <f t="shared" si="10"/>
        <v>7.134892117002626</v>
      </c>
      <c r="T23" s="30">
        <f t="shared" si="11"/>
        <v>706.43212522405554</v>
      </c>
      <c r="U23" s="44">
        <f t="shared" si="12"/>
        <v>713.5670173410582</v>
      </c>
      <c r="W23" s="44">
        <f t="shared" si="13"/>
        <v>1074.8584856859725</v>
      </c>
    </row>
    <row r="24" spans="1:23" x14ac:dyDescent="0.25">
      <c r="A24" s="1">
        <f t="shared" si="14"/>
        <v>57</v>
      </c>
      <c r="B24" s="13">
        <v>308021.19334535988</v>
      </c>
      <c r="C24" s="13">
        <f t="shared" si="0"/>
        <v>200213.77567448391</v>
      </c>
      <c r="D24" s="18">
        <f t="shared" si="1"/>
        <v>104727.20573742237</v>
      </c>
      <c r="E24" s="18">
        <f>Addendum!B15</f>
        <v>30761.341150850152</v>
      </c>
      <c r="F24" s="16">
        <f t="shared" si="2"/>
        <v>2.9573258620371141E-2</v>
      </c>
      <c r="G24" s="18">
        <f>Addendum!D15</f>
        <v>372.634148588659</v>
      </c>
      <c r="H24" s="16">
        <v>0.14344340699999999</v>
      </c>
      <c r="J24" s="24">
        <f t="shared" si="3"/>
        <v>5.5440821450262758</v>
      </c>
      <c r="K24" s="24">
        <f t="shared" si="4"/>
        <v>126.71184727480799</v>
      </c>
      <c r="L24" s="24">
        <f t="shared" si="5"/>
        <v>318.82083782462314</v>
      </c>
      <c r="M24" s="27">
        <f t="shared" si="6"/>
        <v>451.07676724445741</v>
      </c>
      <c r="N24" s="33">
        <f t="shared" si="7"/>
        <v>23.681530280334012</v>
      </c>
      <c r="O24" s="29">
        <v>707000</v>
      </c>
      <c r="P24" s="31">
        <f t="shared" si="8"/>
        <v>263.4523430521819</v>
      </c>
      <c r="Q24" s="39">
        <f t="shared" si="9"/>
        <v>287.13387333251592</v>
      </c>
      <c r="S24" s="42">
        <f t="shared" si="10"/>
        <v>6.2836323442453415</v>
      </c>
      <c r="T24" s="30">
        <f t="shared" si="11"/>
        <v>622.14812477594432</v>
      </c>
      <c r="U24" s="44">
        <f t="shared" si="12"/>
        <v>628.43175712018967</v>
      </c>
      <c r="W24" s="44">
        <f t="shared" si="13"/>
        <v>915.56563045270559</v>
      </c>
    </row>
    <row r="25" spans="1:23" x14ac:dyDescent="0.25">
      <c r="A25" s="1">
        <f t="shared" si="14"/>
        <v>62</v>
      </c>
      <c r="B25" s="13">
        <v>270215.48702898552</v>
      </c>
      <c r="C25" s="13">
        <f t="shared" si="0"/>
        <v>175640.06656884059</v>
      </c>
      <c r="D25" s="18">
        <f t="shared" si="1"/>
        <v>91873.265589855087</v>
      </c>
      <c r="E25" s="18">
        <f>Addendum!B16</f>
        <v>33763.958874130571</v>
      </c>
      <c r="F25" s="16">
        <f t="shared" si="2"/>
        <v>8.9965544651143092E-2</v>
      </c>
      <c r="G25" s="18">
        <f>Addendum!D16</f>
        <v>1133.5995996836471</v>
      </c>
      <c r="H25" s="16">
        <v>0.16548806499999999</v>
      </c>
      <c r="J25" s="24">
        <f t="shared" si="3"/>
        <v>4.1727968520421959</v>
      </c>
      <c r="K25" s="24">
        <f t="shared" si="4"/>
        <v>96.985669823054025</v>
      </c>
      <c r="L25" s="24">
        <f t="shared" si="5"/>
        <v>340.93476250506455</v>
      </c>
      <c r="M25" s="27">
        <f t="shared" si="6"/>
        <v>442.09322918016079</v>
      </c>
      <c r="N25" s="33">
        <f t="shared" si="7"/>
        <v>23.20989453195844</v>
      </c>
      <c r="O25" s="29">
        <v>612000</v>
      </c>
      <c r="P25" s="31">
        <f t="shared" si="8"/>
        <v>693.76295500639196</v>
      </c>
      <c r="Q25" s="39">
        <f t="shared" si="9"/>
        <v>716.97284953835037</v>
      </c>
      <c r="S25" s="42">
        <f t="shared" si="10"/>
        <v>5.5123959353913046</v>
      </c>
      <c r="T25" s="30">
        <f t="shared" si="11"/>
        <v>682.87606822929081</v>
      </c>
      <c r="U25" s="44">
        <f t="shared" si="12"/>
        <v>688.38846416468209</v>
      </c>
      <c r="W25" s="44">
        <f t="shared" si="13"/>
        <v>1405.3613137030325</v>
      </c>
    </row>
    <row r="26" spans="1:23" x14ac:dyDescent="0.25">
      <c r="A26" s="1">
        <f t="shared" si="14"/>
        <v>67</v>
      </c>
      <c r="B26" s="13">
        <v>238315.88930648364</v>
      </c>
      <c r="C26" s="13">
        <f t="shared" si="0"/>
        <v>154905.32804921438</v>
      </c>
      <c r="D26" s="18">
        <f t="shared" si="1"/>
        <v>81027.402364204449</v>
      </c>
      <c r="E26" s="18">
        <f>Addendum!B17</f>
        <v>29778.041125869426</v>
      </c>
      <c r="F26" s="16">
        <f t="shared" si="2"/>
        <v>7.9344892538226255E-2</v>
      </c>
      <c r="G26" s="18">
        <f>Addendum!D17</f>
        <v>999.77540031635272</v>
      </c>
      <c r="H26" s="16">
        <v>0.19869763500000001</v>
      </c>
      <c r="J26" s="24">
        <f t="shared" si="3"/>
        <v>3.5337341793466277</v>
      </c>
      <c r="K26" s="24">
        <f t="shared" si="4"/>
        <v>82.132341571534283</v>
      </c>
      <c r="L26" s="24">
        <f t="shared" si="5"/>
        <v>288.7206988286398</v>
      </c>
      <c r="M26" s="27">
        <f t="shared" si="6"/>
        <v>374.3867745795207</v>
      </c>
      <c r="N26" s="33">
        <f t="shared" si="7"/>
        <v>19.655305665424837</v>
      </c>
      <c r="O26" s="29">
        <v>521000</v>
      </c>
      <c r="P26" s="31">
        <f t="shared" si="8"/>
        <v>520.88298356481971</v>
      </c>
      <c r="Q26" s="39">
        <f t="shared" si="9"/>
        <v>540.53828923024457</v>
      </c>
      <c r="S26" s="42">
        <f t="shared" si="10"/>
        <v>4.8616441418522669</v>
      </c>
      <c r="T26" s="30">
        <f t="shared" si="11"/>
        <v>602.26088177070915</v>
      </c>
      <c r="U26" s="44">
        <f t="shared" si="12"/>
        <v>607.1225259125614</v>
      </c>
      <c r="W26" s="44">
        <f t="shared" si="13"/>
        <v>1147.6608151428059</v>
      </c>
    </row>
    <row r="27" spans="1:23" x14ac:dyDescent="0.25">
      <c r="A27" s="1">
        <f t="shared" si="14"/>
        <v>72</v>
      </c>
      <c r="B27" s="13">
        <v>176467.0319605759</v>
      </c>
      <c r="C27" s="13">
        <f t="shared" si="0"/>
        <v>114703.57077437434</v>
      </c>
      <c r="D27" s="18">
        <f t="shared" si="1"/>
        <v>59998.790866595809</v>
      </c>
      <c r="E27" s="18">
        <f>Addendum!B18</f>
        <v>24097.106763126165</v>
      </c>
      <c r="F27" s="16">
        <f t="shared" si="2"/>
        <v>0.14201681749524789</v>
      </c>
      <c r="G27" s="18">
        <f>Addendum!D18</f>
        <v>1789.465156746684</v>
      </c>
      <c r="H27" s="16">
        <v>0.22850003099999999</v>
      </c>
      <c r="J27" s="24">
        <f t="shared" si="3"/>
        <v>2.3613818882261435</v>
      </c>
      <c r="K27" s="24">
        <f t="shared" si="4"/>
        <v>55.396077213808653</v>
      </c>
      <c r="L27" s="24">
        <f t="shared" si="5"/>
        <v>224.95009716097243</v>
      </c>
      <c r="M27" s="27">
        <f t="shared" si="6"/>
        <v>282.70755626300723</v>
      </c>
      <c r="N27" s="33">
        <f t="shared" si="7"/>
        <v>14.842146703807879</v>
      </c>
      <c r="O27" s="29">
        <v>424000</v>
      </c>
      <c r="P27" s="31">
        <f t="shared" si="8"/>
        <v>758.73322646059398</v>
      </c>
      <c r="Q27" s="39">
        <f t="shared" si="9"/>
        <v>773.57537316440187</v>
      </c>
      <c r="S27" s="42">
        <f t="shared" si="10"/>
        <v>3.5999274519957485</v>
      </c>
      <c r="T27" s="30">
        <f t="shared" si="11"/>
        <v>487.36398428422666</v>
      </c>
      <c r="U27" s="44">
        <f t="shared" si="12"/>
        <v>490.96391173622243</v>
      </c>
      <c r="W27" s="44">
        <f t="shared" si="13"/>
        <v>1264.5392849006244</v>
      </c>
    </row>
    <row r="28" spans="1:23" x14ac:dyDescent="0.25">
      <c r="A28" s="1">
        <f t="shared" si="14"/>
        <v>77</v>
      </c>
      <c r="B28" s="13">
        <v>125108.12868438206</v>
      </c>
      <c r="C28" s="13">
        <f t="shared" si="0"/>
        <v>81320.283644848343</v>
      </c>
      <c r="D28" s="18">
        <f t="shared" si="1"/>
        <v>42536.763752689905</v>
      </c>
      <c r="E28" s="18">
        <f>Addendum!B19</f>
        <v>17083.893236873835</v>
      </c>
      <c r="F28" s="16">
        <f t="shared" si="2"/>
        <v>0.10068429259076145</v>
      </c>
      <c r="G28" s="18">
        <f>Addendum!D19</f>
        <v>1268.6598432533158</v>
      </c>
      <c r="H28" s="16">
        <v>0.26674398399999999</v>
      </c>
      <c r="J28" s="24">
        <f t="shared" si="3"/>
        <v>1.5911381789941395</v>
      </c>
      <c r="K28" s="24">
        <f t="shared" si="4"/>
        <v>37.326793205655804</v>
      </c>
      <c r="L28" s="24">
        <f t="shared" si="5"/>
        <v>151.57509666093736</v>
      </c>
      <c r="M28" s="27">
        <f t="shared" si="6"/>
        <v>190.49302804558732</v>
      </c>
      <c r="N28" s="33">
        <f t="shared" si="7"/>
        <v>10.000883972393334</v>
      </c>
      <c r="O28" s="29">
        <v>327000</v>
      </c>
      <c r="P28" s="31">
        <f t="shared" si="8"/>
        <v>414.85176874383421</v>
      </c>
      <c r="Q28" s="39">
        <f t="shared" si="9"/>
        <v>424.85265271622757</v>
      </c>
      <c r="S28" s="42">
        <f t="shared" si="10"/>
        <v>2.5522058251613942</v>
      </c>
      <c r="T28" s="30">
        <f t="shared" si="11"/>
        <v>345.52174071577332</v>
      </c>
      <c r="U28" s="44">
        <f t="shared" si="12"/>
        <v>348.07394654093468</v>
      </c>
      <c r="W28" s="44">
        <f t="shared" si="13"/>
        <v>772.92659925716225</v>
      </c>
    </row>
    <row r="29" spans="1:23" x14ac:dyDescent="0.25">
      <c r="A29" s="1">
        <f t="shared" si="14"/>
        <v>82</v>
      </c>
      <c r="B29" s="13">
        <v>91181.06084756575</v>
      </c>
      <c r="C29" s="13">
        <f t="shared" si="0"/>
        <v>59267.689550917741</v>
      </c>
      <c r="D29" s="18">
        <f t="shared" si="1"/>
        <v>31001.560688172358</v>
      </c>
      <c r="E29" s="18">
        <f>Addendum!B20</f>
        <v>23515.462166542009</v>
      </c>
      <c r="F29" s="16">
        <f t="shared" si="2"/>
        <v>0.257109401780442</v>
      </c>
      <c r="G29" s="18">
        <f>Addendum!D20</f>
        <v>3239.6748784592369</v>
      </c>
      <c r="H29" s="16">
        <v>0.30506923400000002</v>
      </c>
      <c r="J29" s="24">
        <f t="shared" si="3"/>
        <v>0.33013844462032998</v>
      </c>
      <c r="K29" s="24">
        <f t="shared" si="4"/>
        <v>10.404283013509041</v>
      </c>
      <c r="L29" s="24">
        <f t="shared" si="5"/>
        <v>197.73357944849255</v>
      </c>
      <c r="M29" s="27">
        <f t="shared" si="6"/>
        <v>208.46800090662191</v>
      </c>
      <c r="N29" s="33">
        <f t="shared" si="7"/>
        <v>10.944570047597649</v>
      </c>
      <c r="O29" s="29">
        <v>235000</v>
      </c>
      <c r="P29" s="31">
        <f t="shared" si="8"/>
        <v>761.32359643792063</v>
      </c>
      <c r="Q29" s="39">
        <f t="shared" si="9"/>
        <v>772.26816648551824</v>
      </c>
      <c r="S29" s="42">
        <f t="shared" si="10"/>
        <v>1.8600936412903415</v>
      </c>
      <c r="T29" s="30">
        <f t="shared" si="11"/>
        <v>475.60022231831209</v>
      </c>
      <c r="U29" s="44">
        <f t="shared" si="12"/>
        <v>477.46031595960244</v>
      </c>
      <c r="W29" s="44">
        <f t="shared" si="13"/>
        <v>1249.7284824451208</v>
      </c>
    </row>
    <row r="30" spans="1:23" x14ac:dyDescent="0.25">
      <c r="A30" s="1" t="s">
        <v>1</v>
      </c>
      <c r="B30" s="13">
        <v>85605.518033201006</v>
      </c>
      <c r="C30" s="13">
        <f t="shared" si="0"/>
        <v>55643.586721580657</v>
      </c>
      <c r="D30" s="18">
        <f t="shared" si="1"/>
        <v>29105.876131288343</v>
      </c>
      <c r="E30" s="18">
        <f>Addendum!B21</f>
        <v>22077.537833457991</v>
      </c>
      <c r="F30" s="16">
        <f t="shared" si="2"/>
        <v>0.2413876667591848</v>
      </c>
      <c r="G30" s="18">
        <f>Addendum!D21</f>
        <v>3041.5751215407631</v>
      </c>
      <c r="H30" s="16">
        <v>0.36571277699999999</v>
      </c>
      <c r="J30" s="24">
        <f t="shared" si="3"/>
        <v>0.28290305920326975</v>
      </c>
      <c r="K30" s="24">
        <f t="shared" si="4"/>
        <v>8.9156641442450937</v>
      </c>
      <c r="L30" s="24">
        <f t="shared" si="5"/>
        <v>169.44235197304423</v>
      </c>
      <c r="M30" s="27">
        <f t="shared" si="6"/>
        <v>178.64091917649259</v>
      </c>
      <c r="N30" s="33">
        <f t="shared" si="7"/>
        <v>9.3786482567658602</v>
      </c>
      <c r="O30" s="29">
        <v>161000</v>
      </c>
      <c r="P30" s="31">
        <f t="shared" si="8"/>
        <v>489.69359456806279</v>
      </c>
      <c r="Q30" s="39">
        <f t="shared" si="9"/>
        <v>499.07224282482866</v>
      </c>
      <c r="S30" s="42">
        <f t="shared" si="10"/>
        <v>1.7463525678773004</v>
      </c>
      <c r="T30" s="30">
        <f t="shared" si="11"/>
        <v>446.51820268168785</v>
      </c>
      <c r="U30" s="44">
        <f t="shared" si="12"/>
        <v>448.26455524956515</v>
      </c>
      <c r="W30" s="44">
        <f t="shared" si="13"/>
        <v>947.33679807439376</v>
      </c>
    </row>
    <row r="31" spans="1:23" x14ac:dyDescent="0.25">
      <c r="M31" s="26"/>
      <c r="N31" s="26"/>
      <c r="Q31" s="2"/>
    </row>
    <row r="32" spans="1:23" x14ac:dyDescent="0.25">
      <c r="A32" s="1" t="s">
        <v>2</v>
      </c>
      <c r="B32" s="14">
        <f t="shared" ref="B32:G32" si="15">SUM(B13:B31)</f>
        <v>4969230.080450872</v>
      </c>
      <c r="C32" s="14">
        <f t="shared" si="15"/>
        <v>3229999.5522930669</v>
      </c>
      <c r="D32" s="19">
        <f t="shared" si="15"/>
        <v>1689538.2273532965</v>
      </c>
      <c r="E32" s="19">
        <f t="shared" si="15"/>
        <v>336000</v>
      </c>
      <c r="F32" s="20">
        <f t="shared" si="15"/>
        <v>1</v>
      </c>
      <c r="G32" s="19">
        <f t="shared" si="15"/>
        <v>12600.375</v>
      </c>
      <c r="H32" s="19"/>
      <c r="J32" s="19">
        <f t="shared" ref="J32:M32" si="16">SUM(J13:J31)</f>
        <v>108.28253403878018</v>
      </c>
      <c r="K32" s="19">
        <f t="shared" si="16"/>
        <v>2432.0497362826641</v>
      </c>
      <c r="L32" s="19">
        <f t="shared" si="16"/>
        <v>3360.9512169187574</v>
      </c>
      <c r="M32" s="28">
        <f t="shared" si="16"/>
        <v>5901.2834872402018</v>
      </c>
      <c r="N32" s="39">
        <f>SUM(N13:N31)</f>
        <v>309.81738308011069</v>
      </c>
      <c r="P32" s="32">
        <f>SUM(P13:P31)</f>
        <v>4558.619894417996</v>
      </c>
      <c r="Q32" s="40">
        <f>SUM(Q13:Q31)</f>
        <v>4868.4372774981057</v>
      </c>
      <c r="S32" s="40">
        <f>SUM(S13:S31)</f>
        <v>101.3722936411978</v>
      </c>
      <c r="T32" s="40">
        <f>SUM(T13:T31)</f>
        <v>6795.6</v>
      </c>
      <c r="U32" s="40">
        <f>SUM(U13:U31)</f>
        <v>6896.9722936411963</v>
      </c>
      <c r="W32" s="40">
        <f>SUM(W13:W31)</f>
        <v>11765.409571139302</v>
      </c>
    </row>
    <row r="33" spans="1:23" x14ac:dyDescent="0.25">
      <c r="A33" s="62" t="s">
        <v>4</v>
      </c>
      <c r="C33" s="15">
        <f>C32/$B$32</f>
        <v>0.65</v>
      </c>
      <c r="D33" s="16">
        <f>D32/$B$32</f>
        <v>0.34</v>
      </c>
      <c r="E33" s="16">
        <f>E32/$B$32</f>
        <v>6.7616108443405737E-2</v>
      </c>
      <c r="G33" s="22">
        <f>G32/$B$32</f>
        <v>2.5356795310344602E-3</v>
      </c>
      <c r="H33" s="22"/>
      <c r="Q33" s="2"/>
      <c r="S33" s="2"/>
      <c r="T33" s="2"/>
      <c r="U33" s="2"/>
      <c r="W33" s="2"/>
    </row>
    <row r="34" spans="1:23" x14ac:dyDescent="0.25">
      <c r="A34" s="62" t="s">
        <v>7</v>
      </c>
      <c r="C34" s="15">
        <f>C32/$C$32</f>
        <v>1</v>
      </c>
      <c r="D34" s="15">
        <f>D32/$C$32</f>
        <v>0.52307692307692311</v>
      </c>
      <c r="E34" s="15">
        <f>E32/$C$32</f>
        <v>0.10402478222062421</v>
      </c>
      <c r="G34" s="23">
        <f>G32/$C$32</f>
        <v>3.9010454323607081E-3</v>
      </c>
      <c r="H34" s="23"/>
      <c r="M34" t="s">
        <v>34</v>
      </c>
      <c r="N34" s="23">
        <f>N32/$M$35</f>
        <v>9.6877269540127922E-4</v>
      </c>
      <c r="P34" s="23">
        <f>P32/$M$35</f>
        <v>1.42544180010819E-2</v>
      </c>
      <c r="Q34" s="41">
        <f>Q32/$M$35</f>
        <v>1.5223190696483176E-2</v>
      </c>
      <c r="S34" s="43">
        <f>S32/$M$35</f>
        <v>3.1698256945253281E-4</v>
      </c>
      <c r="T34" s="41">
        <f>T32/$M$35</f>
        <v>2.1249265174919641E-2</v>
      </c>
      <c r="U34" s="41">
        <f>U32/$M$35</f>
        <v>2.1566247744372165E-2</v>
      </c>
      <c r="W34" s="41">
        <f>W32/$M$35</f>
        <v>3.6789438440855346E-2</v>
      </c>
    </row>
    <row r="35" spans="1:23" x14ac:dyDescent="0.25">
      <c r="A35" s="62" t="s">
        <v>15</v>
      </c>
      <c r="D35" s="16">
        <f>D32/$D$32</f>
        <v>1</v>
      </c>
      <c r="E35" s="16">
        <f>E32/$D$32</f>
        <v>0.19887090718648748</v>
      </c>
      <c r="G35" s="22">
        <f>G32/$D$32</f>
        <v>7.4578809736307655E-3</v>
      </c>
      <c r="H35" s="22"/>
      <c r="L35" s="4" t="s">
        <v>58</v>
      </c>
      <c r="M35" s="14">
        <v>319804</v>
      </c>
    </row>
    <row r="36" spans="1:23" x14ac:dyDescent="0.25">
      <c r="A36" s="62" t="s">
        <v>16</v>
      </c>
      <c r="E36" s="15">
        <f>E32/$E$32</f>
        <v>1</v>
      </c>
      <c r="G36" s="15">
        <f>G32/$E$32</f>
        <v>3.7501116071428572E-2</v>
      </c>
      <c r="H36" s="15"/>
      <c r="L36" t="s">
        <v>59</v>
      </c>
    </row>
  </sheetData>
  <mergeCells count="4">
    <mergeCell ref="B1:F1"/>
    <mergeCell ref="C9:G9"/>
    <mergeCell ref="J9:M9"/>
    <mergeCell ref="O9:P9"/>
  </mergeCells>
  <hyperlinks>
    <hyperlink ref="K2" r:id="rId1" location="sec020" xr:uid="{8F11DCB5-3BD2-429F-AA90-DA2D23800EA0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13B6-D938-4710-A0EB-55015DB36D4D}">
  <dimension ref="A1:G24"/>
  <sheetViews>
    <sheetView tabSelected="1" workbookViewId="0">
      <selection activeCell="M30" sqref="M30"/>
    </sheetView>
  </sheetViews>
  <sheetFormatPr defaultRowHeight="15" x14ac:dyDescent="0.25"/>
  <cols>
    <col min="2" max="2" width="16.5703125" customWidth="1"/>
  </cols>
  <sheetData>
    <row r="1" spans="1:7" x14ac:dyDescent="0.25">
      <c r="A1" t="s">
        <v>61</v>
      </c>
      <c r="C1" t="s">
        <v>70</v>
      </c>
    </row>
    <row r="3" spans="1:7" ht="60" x14ac:dyDescent="0.25">
      <c r="A3" s="7" t="s">
        <v>62</v>
      </c>
      <c r="B3" s="66" t="s">
        <v>63</v>
      </c>
      <c r="C3" s="67" t="s">
        <v>64</v>
      </c>
      <c r="D3" s="67" t="s">
        <v>65</v>
      </c>
    </row>
    <row r="4" spans="1:7" x14ac:dyDescent="0.25">
      <c r="A4">
        <v>2</v>
      </c>
      <c r="B4" s="65">
        <v>1571.9812765127504</v>
      </c>
      <c r="C4" s="65">
        <v>0</v>
      </c>
      <c r="D4" s="65">
        <f>C4*$D$24/$C$23</f>
        <v>0</v>
      </c>
    </row>
    <row r="5" spans="1:7" x14ac:dyDescent="0.25">
      <c r="A5">
        <v>7</v>
      </c>
      <c r="B5" s="65">
        <v>1560.0187234872492</v>
      </c>
      <c r="C5" s="65">
        <v>0</v>
      </c>
      <c r="D5" s="65">
        <f t="shared" ref="D5:D21" si="0">C5*$D$24/$C$23</f>
        <v>0</v>
      </c>
    </row>
    <row r="6" spans="1:7" x14ac:dyDescent="0.25">
      <c r="A6">
        <v>12</v>
      </c>
      <c r="B6" s="65">
        <v>2025.7274905236211</v>
      </c>
      <c r="C6" s="65">
        <v>9.2232979439129661</v>
      </c>
      <c r="D6" s="65">
        <f t="shared" si="0"/>
        <v>3.4587367289673625</v>
      </c>
    </row>
    <row r="7" spans="1:7" x14ac:dyDescent="0.25">
      <c r="A7">
        <v>17</v>
      </c>
      <c r="B7" s="65">
        <v>2147.2725094763791</v>
      </c>
      <c r="C7" s="65">
        <v>9.7767020560870357</v>
      </c>
      <c r="D7" s="65">
        <f t="shared" si="0"/>
        <v>3.6662632710326384</v>
      </c>
    </row>
    <row r="8" spans="1:7" x14ac:dyDescent="0.25">
      <c r="A8">
        <v>22</v>
      </c>
      <c r="B8" s="65">
        <v>11187.389285135352</v>
      </c>
      <c r="C8" s="65">
        <v>53.843896903874203</v>
      </c>
      <c r="D8" s="65">
        <f t="shared" si="0"/>
        <v>20.191461338952827</v>
      </c>
    </row>
    <row r="9" spans="1:7" x14ac:dyDescent="0.25">
      <c r="A9">
        <v>27</v>
      </c>
      <c r="B9" s="65">
        <v>10005.610714864646</v>
      </c>
      <c r="C9" s="65">
        <v>48.15610309612579</v>
      </c>
      <c r="D9" s="65">
        <f t="shared" si="0"/>
        <v>18.058538661047169</v>
      </c>
    </row>
    <row r="10" spans="1:7" x14ac:dyDescent="0.25">
      <c r="A10">
        <v>32</v>
      </c>
      <c r="B10" s="65">
        <v>24103.618287478432</v>
      </c>
      <c r="C10" s="65">
        <v>142.18044129664941</v>
      </c>
      <c r="D10" s="65">
        <f t="shared" si="0"/>
        <v>53.317665486243527</v>
      </c>
    </row>
    <row r="11" spans="1:7" x14ac:dyDescent="0.25">
      <c r="A11">
        <v>37</v>
      </c>
      <c r="B11" s="65">
        <v>23703.381712521561</v>
      </c>
      <c r="C11" s="65">
        <v>139.81955870335057</v>
      </c>
      <c r="D11" s="65">
        <f t="shared" si="0"/>
        <v>52.432334513756466</v>
      </c>
    </row>
    <row r="12" spans="1:7" x14ac:dyDescent="0.25">
      <c r="A12">
        <v>42</v>
      </c>
      <c r="B12" s="65">
        <v>21926.644520186263</v>
      </c>
      <c r="C12" s="65">
        <v>241.90626150128816</v>
      </c>
      <c r="D12" s="65">
        <f t="shared" si="0"/>
        <v>90.714848062983066</v>
      </c>
    </row>
    <row r="13" spans="1:7" x14ac:dyDescent="0.25">
      <c r="A13">
        <v>47</v>
      </c>
      <c r="B13" s="65">
        <v>21762.355479813741</v>
      </c>
      <c r="C13" s="65">
        <v>240.09373849871187</v>
      </c>
      <c r="D13" s="65">
        <f t="shared" si="0"/>
        <v>90.035151937016948</v>
      </c>
    </row>
    <row r="14" spans="1:7" x14ac:dyDescent="0.25">
      <c r="A14">
        <v>52</v>
      </c>
      <c r="B14" s="65">
        <v>34928.658849149841</v>
      </c>
      <c r="C14" s="65">
        <v>1128.3089370969092</v>
      </c>
      <c r="D14" s="65">
        <f t="shared" si="0"/>
        <v>423.11585141134094</v>
      </c>
    </row>
    <row r="15" spans="1:7" x14ac:dyDescent="0.25">
      <c r="A15">
        <v>57</v>
      </c>
      <c r="B15" s="65">
        <v>30761.341150850152</v>
      </c>
      <c r="C15" s="65">
        <v>993.69106290309071</v>
      </c>
      <c r="D15" s="65">
        <f t="shared" si="0"/>
        <v>372.634148588659</v>
      </c>
    </row>
    <row r="16" spans="1:7" x14ac:dyDescent="0.25">
      <c r="A16">
        <v>62</v>
      </c>
      <c r="B16" s="65">
        <v>33763.958874130571</v>
      </c>
      <c r="C16" s="65">
        <v>3022.932265823059</v>
      </c>
      <c r="D16" s="65">
        <f t="shared" si="0"/>
        <v>1133.5995996836471</v>
      </c>
      <c r="F16" s="74" t="s">
        <v>71</v>
      </c>
      <c r="G16" s="74"/>
    </row>
    <row r="17" spans="1:7" x14ac:dyDescent="0.25">
      <c r="A17">
        <v>67</v>
      </c>
      <c r="B17" s="65">
        <v>29778.041125869426</v>
      </c>
      <c r="C17" s="65">
        <v>2666.0677341769406</v>
      </c>
      <c r="D17" s="65">
        <f t="shared" si="0"/>
        <v>999.77540031635272</v>
      </c>
      <c r="F17" s="68">
        <f>SUM(C17:C21)/C23</f>
        <v>0.82056749208859947</v>
      </c>
      <c r="G17" s="68">
        <f t="shared" ref="F17:G17" si="1">SUM(D17:D21)/D23</f>
        <v>0.82054307116386249</v>
      </c>
    </row>
    <row r="18" spans="1:7" x14ac:dyDescent="0.25">
      <c r="A18">
        <v>72</v>
      </c>
      <c r="B18" s="65">
        <v>24097.106763126165</v>
      </c>
      <c r="C18" s="65">
        <v>4771.9070846578243</v>
      </c>
      <c r="D18" s="65">
        <f t="shared" si="0"/>
        <v>1789.465156746684</v>
      </c>
    </row>
    <row r="19" spans="1:7" x14ac:dyDescent="0.25">
      <c r="A19">
        <v>77</v>
      </c>
      <c r="B19" s="65">
        <v>17083.893236873835</v>
      </c>
      <c r="C19" s="65">
        <v>3383.0929153421753</v>
      </c>
      <c r="D19" s="65">
        <f t="shared" si="0"/>
        <v>1268.6598432533158</v>
      </c>
      <c r="F19" t="s">
        <v>72</v>
      </c>
    </row>
    <row r="20" spans="1:7" x14ac:dyDescent="0.25">
      <c r="A20">
        <v>82</v>
      </c>
      <c r="B20" s="65">
        <v>23515.462166542009</v>
      </c>
      <c r="C20" s="65">
        <v>8639.1330092246317</v>
      </c>
      <c r="D20" s="65">
        <f t="shared" si="0"/>
        <v>3239.6748784592369</v>
      </c>
      <c r="F20" s="68">
        <f>SUM(B17:B21)/B23</f>
        <v>0.3468810747793733</v>
      </c>
    </row>
    <row r="21" spans="1:7" x14ac:dyDescent="0.25">
      <c r="A21">
        <v>87</v>
      </c>
      <c r="B21" s="65">
        <v>22077.537833457991</v>
      </c>
      <c r="C21" s="65">
        <v>8110.8669907753674</v>
      </c>
      <c r="D21" s="65">
        <f t="shared" si="0"/>
        <v>3041.5751215407631</v>
      </c>
    </row>
    <row r="22" spans="1:7" x14ac:dyDescent="0.25">
      <c r="B22" s="65"/>
      <c r="C22" s="65"/>
      <c r="D22" s="65"/>
    </row>
    <row r="23" spans="1:7" x14ac:dyDescent="0.25">
      <c r="B23" s="65">
        <f>SUM(B4:B22)</f>
        <v>336000</v>
      </c>
      <c r="C23" s="65">
        <f>SUM(C4:C22)-1</f>
        <v>33600</v>
      </c>
      <c r="D23" s="65">
        <f>SUM(D4:D22)</f>
        <v>12600.375</v>
      </c>
    </row>
    <row r="24" spans="1:7" x14ac:dyDescent="0.25">
      <c r="D24" s="65">
        <v>12600</v>
      </c>
    </row>
  </sheetData>
  <mergeCells count="1">
    <mergeCell ref="F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Health costs 33,600 deaths</vt:lpstr>
      <vt:lpstr>Health costs 12,600 deaths</vt:lpstr>
      <vt:lpstr>Addendum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Wilkinson</dc:creator>
  <cp:lastModifiedBy>Bryce Wilkinson</cp:lastModifiedBy>
  <dcterms:created xsi:type="dcterms:W3CDTF">2020-04-01T23:40:30Z</dcterms:created>
  <dcterms:modified xsi:type="dcterms:W3CDTF">2020-04-09T00:10:03Z</dcterms:modified>
</cp:coreProperties>
</file>